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mc:AlternateContent xmlns:mc="http://schemas.openxmlformats.org/markup-compatibility/2006">
    <mc:Choice Requires="x15">
      <x15ac:absPath xmlns:x15ac="http://schemas.microsoft.com/office/spreadsheetml/2010/11/ac" url="/Users/dagmarhonsbein/Dropbox/GiZ Bush to Animal Feed/FINAL Report - Bush to Animal Feed Trials/09 - Cost Calculations/"/>
    </mc:Choice>
  </mc:AlternateContent>
  <workbookProtection lockStructure="1"/>
  <bookViews>
    <workbookView xWindow="0" yWindow="460" windowWidth="28800" windowHeight="16200" tabRatio="500" activeTab="2"/>
  </bookViews>
  <sheets>
    <sheet name="Equipment Selection" sheetId="1" r:id="rId1"/>
    <sheet name="Suppl &amp; Additives" sheetId="2" r:id="rId2"/>
    <sheet name="Costing model generic" sheetId="3" r:id="rId3"/>
  </sheets>
  <definedNames>
    <definedName name="_xlnm.Print_Area" localSheetId="2">'Costing model generic'!$A$1:$H$94</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15" i="3" l="1"/>
  <c r="H16" i="3"/>
  <c r="H17" i="3"/>
  <c r="H18" i="3"/>
  <c r="H19" i="3"/>
  <c r="H20" i="3"/>
  <c r="H21" i="3"/>
  <c r="H22" i="3"/>
  <c r="H12" i="3"/>
  <c r="H13" i="3"/>
  <c r="H14" i="3"/>
  <c r="F13" i="3"/>
  <c r="F14" i="3"/>
  <c r="H24" i="3"/>
  <c r="H37" i="3"/>
  <c r="F12" i="3"/>
  <c r="F19" i="3"/>
  <c r="H4" i="3"/>
  <c r="H8" i="3"/>
  <c r="F18" i="3"/>
  <c r="F20" i="3"/>
  <c r="J12" i="1"/>
  <c r="D19" i="3"/>
  <c r="J19" i="3"/>
  <c r="J11" i="1"/>
  <c r="B37" i="3"/>
  <c r="J59" i="3"/>
  <c r="J37" i="3"/>
  <c r="H6" i="3"/>
  <c r="H5" i="3"/>
  <c r="J10" i="1"/>
  <c r="D8" i="1"/>
  <c r="D28" i="3"/>
  <c r="H28" i="3"/>
  <c r="B31" i="3"/>
  <c r="D31" i="3"/>
  <c r="H31" i="3"/>
  <c r="D32" i="3"/>
  <c r="H32" i="3"/>
  <c r="H33" i="3"/>
  <c r="H35" i="3"/>
  <c r="D37" i="3"/>
  <c r="B59" i="3"/>
  <c r="B41" i="3"/>
  <c r="D41" i="3"/>
  <c r="H41" i="3"/>
  <c r="B43" i="3"/>
  <c r="D43" i="3"/>
  <c r="H43" i="3"/>
  <c r="B45" i="3"/>
  <c r="D45" i="3"/>
  <c r="H45" i="3"/>
  <c r="B46" i="3"/>
  <c r="D46" i="3"/>
  <c r="H46" i="3"/>
  <c r="B47" i="3"/>
  <c r="D47" i="3"/>
  <c r="H47" i="3"/>
  <c r="B50" i="3"/>
  <c r="D50" i="3"/>
  <c r="H50" i="3"/>
  <c r="B52" i="3"/>
  <c r="D52" i="3"/>
  <c r="H52" i="3"/>
  <c r="B53" i="3"/>
  <c r="D53" i="3"/>
  <c r="H53" i="3"/>
  <c r="B54" i="3"/>
  <c r="D54" i="3"/>
  <c r="H54" i="3"/>
  <c r="B55" i="3"/>
  <c r="D55" i="3"/>
  <c r="H55" i="3"/>
  <c r="H56" i="3"/>
  <c r="H57" i="3"/>
  <c r="D59" i="3"/>
  <c r="H59" i="3"/>
  <c r="H81" i="3"/>
  <c r="B63" i="3"/>
  <c r="D63" i="3"/>
  <c r="H63" i="3"/>
  <c r="F64" i="3"/>
  <c r="H64" i="3"/>
  <c r="F65" i="3"/>
  <c r="H65" i="3"/>
  <c r="F66" i="3"/>
  <c r="H66" i="3"/>
  <c r="F67" i="3"/>
  <c r="H67" i="3"/>
  <c r="D68" i="3"/>
  <c r="F68" i="3"/>
  <c r="H68" i="3"/>
  <c r="H69" i="3"/>
  <c r="D71" i="3"/>
  <c r="H71" i="3"/>
  <c r="B85" i="3"/>
  <c r="J5" i="1"/>
  <c r="D12" i="3"/>
  <c r="D6" i="1"/>
  <c r="J6" i="1"/>
  <c r="D13" i="3"/>
  <c r="D7" i="1"/>
  <c r="J7" i="1"/>
  <c r="D14" i="3"/>
  <c r="J8" i="1"/>
  <c r="D15" i="3"/>
  <c r="J9" i="1"/>
  <c r="D16" i="3"/>
  <c r="D10" i="1"/>
  <c r="D17" i="3"/>
  <c r="D11" i="1"/>
  <c r="D18" i="3"/>
  <c r="J13" i="1"/>
  <c r="D20" i="3"/>
  <c r="J14" i="1"/>
  <c r="D21" i="3"/>
  <c r="J15" i="1"/>
  <c r="D22" i="3"/>
  <c r="D85" i="3"/>
  <c r="H85" i="3"/>
  <c r="H88" i="3"/>
  <c r="H91" i="3"/>
  <c r="H92" i="3"/>
  <c r="H93" i="3"/>
  <c r="H94" i="3"/>
  <c r="D74" i="3"/>
  <c r="H74" i="3"/>
  <c r="D75" i="3"/>
  <c r="H75" i="3"/>
  <c r="H76" i="3"/>
  <c r="D78" i="3"/>
  <c r="H78" i="3"/>
  <c r="B51" i="3"/>
  <c r="F17" i="2"/>
  <c r="H17" i="2"/>
  <c r="B49" i="3"/>
  <c r="D48" i="3"/>
  <c r="H16" i="2"/>
  <c r="B44" i="3"/>
  <c r="D42" i="3"/>
  <c r="B42" i="3"/>
  <c r="D30" i="3"/>
  <c r="D29" i="3"/>
  <c r="F22" i="3"/>
  <c r="J22" i="3"/>
  <c r="F21" i="3"/>
  <c r="J21" i="3"/>
  <c r="J20" i="3"/>
  <c r="J18" i="3"/>
  <c r="F17" i="3"/>
  <c r="J17" i="3"/>
  <c r="F16" i="3"/>
  <c r="J16" i="3"/>
  <c r="F15" i="3"/>
  <c r="J15" i="3"/>
  <c r="J14" i="3"/>
  <c r="J13" i="3"/>
  <c r="J12" i="3"/>
  <c r="H25" i="2"/>
  <c r="H24" i="2"/>
  <c r="H23" i="2"/>
  <c r="H22" i="2"/>
  <c r="H21" i="2"/>
  <c r="H20" i="2"/>
  <c r="H19" i="2"/>
  <c r="H18" i="2"/>
  <c r="H15" i="2"/>
  <c r="H14" i="2"/>
  <c r="H13" i="2"/>
  <c r="H12" i="2"/>
  <c r="H11" i="2"/>
  <c r="H10" i="2"/>
  <c r="H9" i="2"/>
  <c r="H8" i="2"/>
  <c r="H7" i="2"/>
  <c r="H6" i="2"/>
</calcChain>
</file>

<file path=xl/comments1.xml><?xml version="1.0" encoding="utf-8"?>
<comments xmlns="http://schemas.openxmlformats.org/spreadsheetml/2006/main">
  <authors>
    <author>Microsoft Office User</author>
  </authors>
  <commentList>
    <comment ref="D29" authorId="0">
      <text>
        <r>
          <rPr>
            <b/>
            <sz val="10"/>
            <color indexed="81"/>
            <rFont val="Calibri"/>
            <family val="2"/>
          </rPr>
          <t>Microsoft Office User:</t>
        </r>
        <r>
          <rPr>
            <sz val="10"/>
            <color indexed="81"/>
            <rFont val="Calibri"/>
            <family val="2"/>
          </rPr>
          <t xml:space="preserve">
a generalised assumption is made that Diesel is used at a rate of 2litres per hour.</t>
        </r>
      </text>
    </comment>
    <comment ref="D30" authorId="0">
      <text>
        <r>
          <rPr>
            <b/>
            <sz val="10"/>
            <color indexed="81"/>
            <rFont val="Calibri"/>
            <family val="2"/>
          </rPr>
          <t>Microsoft Office User:</t>
        </r>
        <r>
          <rPr>
            <sz val="10"/>
            <color indexed="81"/>
            <rFont val="Calibri"/>
            <family val="2"/>
          </rPr>
          <t xml:space="preserve">
A generalised assumption is made that Petrol is used at 1 litre per hour.</t>
        </r>
      </text>
    </comment>
    <comment ref="D63" authorId="0">
      <text>
        <r>
          <rPr>
            <b/>
            <sz val="10"/>
            <color indexed="81"/>
            <rFont val="Calibri"/>
            <family val="2"/>
          </rPr>
          <t>Microsoft Office User:</t>
        </r>
        <r>
          <rPr>
            <sz val="10"/>
            <color indexed="81"/>
            <rFont val="Calibri"/>
            <family val="2"/>
          </rPr>
          <t xml:space="preserve">
This assumes a flat fuel consumption of 2.5 litres per hour.</t>
        </r>
      </text>
    </comment>
    <comment ref="A65" authorId="0">
      <text>
        <r>
          <rPr>
            <b/>
            <sz val="10"/>
            <color indexed="81"/>
            <rFont val="Calibri"/>
            <family val="2"/>
          </rPr>
          <t>Microsoft Office User:</t>
        </r>
        <r>
          <rPr>
            <sz val="10"/>
            <color indexed="81"/>
            <rFont val="Calibri"/>
            <family val="2"/>
          </rPr>
          <t xml:space="preserve">
can be part of chipping, milling operation</t>
        </r>
      </text>
    </comment>
    <comment ref="A66" authorId="0">
      <text>
        <r>
          <rPr>
            <b/>
            <sz val="10"/>
            <color indexed="81"/>
            <rFont val="Calibri"/>
            <family val="2"/>
          </rPr>
          <t>Microsoft Office User:</t>
        </r>
        <r>
          <rPr>
            <sz val="10"/>
            <color indexed="81"/>
            <rFont val="Calibri"/>
            <family val="2"/>
          </rPr>
          <t xml:space="preserve">
can be part of chipping, milling  &amp; drying operation</t>
        </r>
      </text>
    </comment>
    <comment ref="D75" authorId="0">
      <text>
        <r>
          <rPr>
            <b/>
            <sz val="10"/>
            <color indexed="81"/>
            <rFont val="Calibri"/>
            <family val="2"/>
          </rPr>
          <t>Microsoft Office User:</t>
        </r>
        <r>
          <rPr>
            <sz val="10"/>
            <color indexed="81"/>
            <rFont val="Calibri"/>
            <family val="2"/>
          </rPr>
          <t xml:space="preserve">
This assumes a flat fuel consumption of 2.5 litres per hour.</t>
        </r>
      </text>
    </comment>
    <comment ref="D85" authorId="0">
      <text>
        <r>
          <rPr>
            <b/>
            <sz val="10"/>
            <color indexed="81"/>
            <rFont val="Calibri"/>
            <family val="2"/>
          </rPr>
          <t>Microsoft Office User:</t>
        </r>
        <r>
          <rPr>
            <sz val="10"/>
            <color indexed="81"/>
            <rFont val="Calibri"/>
            <family val="2"/>
          </rPr>
          <t xml:space="preserve">
A very simplified capacity formula was used to get an indication of maintenance costs per kg of feed produced.</t>
        </r>
      </text>
    </comment>
  </commentList>
</comments>
</file>

<file path=xl/sharedStrings.xml><?xml version="1.0" encoding="utf-8"?>
<sst xmlns="http://schemas.openxmlformats.org/spreadsheetml/2006/main" count="428" uniqueCount="185">
  <si>
    <t>Fixed costs for operating equipment (per hr)</t>
  </si>
  <si>
    <t>Maximum Capacities!</t>
  </si>
  <si>
    <t>Bos tot Kos machine</t>
  </si>
  <si>
    <t>kg per hour production</t>
  </si>
  <si>
    <t>work hours per day</t>
  </si>
  <si>
    <t>= kg of bush based fibre per day</t>
  </si>
  <si>
    <t>Mower</t>
  </si>
  <si>
    <t xml:space="preserve"> ha cleared per hour</t>
  </si>
  <si>
    <t>Chainsaw</t>
  </si>
  <si>
    <t>Brush cutter</t>
  </si>
  <si>
    <t>Circular saw</t>
  </si>
  <si>
    <t xml:space="preserve"> kg per hour production</t>
  </si>
  <si>
    <t>Front-end loader</t>
  </si>
  <si>
    <t>Excavator</t>
  </si>
  <si>
    <t>Small Scale Mixer (400L)</t>
  </si>
  <si>
    <t>Large Scale Mixer (6m3)</t>
  </si>
  <si>
    <t>Pellitiser</t>
  </si>
  <si>
    <t>Prices are all averaged for the suppliers and over 2016 and 2017</t>
  </si>
  <si>
    <t>Add your prices in the colum Retail Price / unit; the costs pull through to the overall costing modell</t>
  </si>
  <si>
    <t>Packaging size</t>
  </si>
  <si>
    <t>Costing unit (kg)</t>
  </si>
  <si>
    <t>Further considerations</t>
  </si>
  <si>
    <t>Wholesale Price/unit</t>
  </si>
  <si>
    <t>Retail Price/ unit</t>
  </si>
  <si>
    <t>Price per kg</t>
  </si>
  <si>
    <t>VAT</t>
  </si>
  <si>
    <t>Suppliers</t>
  </si>
  <si>
    <t>NaOH</t>
  </si>
  <si>
    <t>25kg</t>
  </si>
  <si>
    <t>Protea Chemicals, SWAChem, Cernol Chemicals</t>
  </si>
  <si>
    <t>Rangeland Grower</t>
  </si>
  <si>
    <t>50kg</t>
  </si>
  <si>
    <t>AGRA, KaapAgri, Animal FedCo</t>
  </si>
  <si>
    <t>Bush Improver Lick</t>
  </si>
  <si>
    <t>PEG (Browse Plus)</t>
  </si>
  <si>
    <t>10kg</t>
  </si>
  <si>
    <t>Molasses (liquid, w/o urea)</t>
  </si>
  <si>
    <t>Molasses (liquid, w urea)</t>
  </si>
  <si>
    <t>Molasses (powder)</t>
  </si>
  <si>
    <t>HPC30 (w urea &amp; yeast)</t>
  </si>
  <si>
    <t>HPC30 (w/o urea &amp; yeast)</t>
  </si>
  <si>
    <t>Camelthorn pods - raw</t>
  </si>
  <si>
    <t>40kg</t>
  </si>
  <si>
    <t>seasonal</t>
  </si>
  <si>
    <t>Selected farmers</t>
  </si>
  <si>
    <t>Camelthorn pods - meal</t>
  </si>
  <si>
    <t>bakkie load</t>
  </si>
  <si>
    <t>Grass</t>
  </si>
  <si>
    <t>per bale</t>
  </si>
  <si>
    <t>AGRA, KaapAgri, Animal FedCo, Farm Barn, selected farmers</t>
  </si>
  <si>
    <t>Lucerne</t>
  </si>
  <si>
    <t>Complete feed (feedlot)</t>
  </si>
  <si>
    <t>special mix &amp; off the shelf</t>
  </si>
  <si>
    <t>Bush Trial mix (enerfeed based)</t>
  </si>
  <si>
    <t>special mix</t>
  </si>
  <si>
    <t>Feedmaster</t>
  </si>
  <si>
    <t>Enerfeed</t>
  </si>
  <si>
    <t>Enermol</t>
  </si>
  <si>
    <t>Urea</t>
  </si>
  <si>
    <t>Feed Sorghum hay</t>
  </si>
  <si>
    <t>Arthur Götz</t>
  </si>
  <si>
    <t>Bush cost calculation for bush feed - always assuming optimal production</t>
  </si>
  <si>
    <t>Heads to feed</t>
  </si>
  <si>
    <t>AMOUNT</t>
  </si>
  <si>
    <t>UNIT</t>
  </si>
  <si>
    <t>Cattle</t>
  </si>
  <si>
    <t>? kg per day</t>
  </si>
  <si>
    <t>cattle to be fed / day</t>
  </si>
  <si>
    <t>% bush inclusion level</t>
  </si>
  <si>
    <t>kg</t>
  </si>
  <si>
    <t>Sheep</t>
  </si>
  <si>
    <t>sheep to be fed / day</t>
  </si>
  <si>
    <t>Other livestock</t>
  </si>
  <si>
    <t>other livestock to be fed / day</t>
  </si>
  <si>
    <t>Total bush needed per day; please note, you need to calculate the production volumes and costs for each livestock type separately!</t>
  </si>
  <si>
    <t>Fixed costs for operating equipment
(please note, the costs assume that you have bought the equipment on cash terms; no debt! Costs are based on 2017 prices)</t>
  </si>
  <si>
    <t>Indicative COSTS</t>
  </si>
  <si>
    <t>Error messaging, if any</t>
  </si>
  <si>
    <t>Select the equipment combination in the sheet call "Equipment Selection"</t>
  </si>
  <si>
    <t>N$ per hr</t>
  </si>
  <si>
    <t>kg maximum daily capacity</t>
  </si>
  <si>
    <r>
      <t xml:space="preserve">kg </t>
    </r>
    <r>
      <rPr>
        <b/>
        <sz val="11"/>
        <color theme="1"/>
        <rFont val="Calibri"/>
        <family val="2"/>
        <scheme val="minor"/>
      </rPr>
      <t>fibre production</t>
    </r>
    <r>
      <rPr>
        <sz val="11"/>
        <color theme="1"/>
        <rFont val="Calibri"/>
        <family val="2"/>
        <scheme val="minor"/>
      </rPr>
      <t xml:space="preserve"> per day =</t>
    </r>
  </si>
  <si>
    <t>N$/kg</t>
  </si>
  <si>
    <r>
      <t xml:space="preserve">kg </t>
    </r>
    <r>
      <rPr>
        <b/>
        <sz val="11"/>
        <color theme="1"/>
        <rFont val="Calibri"/>
        <family val="2"/>
        <scheme val="minor"/>
      </rPr>
      <t>bush harvesting</t>
    </r>
    <r>
      <rPr>
        <sz val="11"/>
        <color theme="1"/>
        <rFont val="Calibri"/>
        <family val="2"/>
        <scheme val="minor"/>
      </rPr>
      <t xml:space="preserve"> per day =</t>
    </r>
  </si>
  <si>
    <r>
      <t xml:space="preserve">kg bush </t>
    </r>
    <r>
      <rPr>
        <b/>
        <sz val="11"/>
        <color theme="1"/>
        <rFont val="Calibri"/>
        <family val="2"/>
        <scheme val="minor"/>
      </rPr>
      <t>processing</t>
    </r>
    <r>
      <rPr>
        <sz val="11"/>
        <color theme="1"/>
        <rFont val="Calibri"/>
        <family val="2"/>
        <scheme val="minor"/>
      </rPr>
      <t xml:space="preserve"> per day =</t>
    </r>
  </si>
  <si>
    <r>
      <t xml:space="preserve">kg bush </t>
    </r>
    <r>
      <rPr>
        <b/>
        <sz val="11"/>
        <color theme="1"/>
        <rFont val="Calibri"/>
        <family val="2"/>
        <scheme val="minor"/>
      </rPr>
      <t>harvested</t>
    </r>
    <r>
      <rPr>
        <sz val="11"/>
        <color theme="1"/>
        <rFont val="Calibri"/>
        <family val="2"/>
        <scheme val="minor"/>
      </rPr>
      <t xml:space="preserve"> per day =</t>
    </r>
  </si>
  <si>
    <r>
      <t xml:space="preserve">kg </t>
    </r>
    <r>
      <rPr>
        <b/>
        <sz val="11"/>
        <color theme="1"/>
        <rFont val="Calibri"/>
        <family val="2"/>
        <scheme val="minor"/>
      </rPr>
      <t>feed mixed</t>
    </r>
    <r>
      <rPr>
        <sz val="11"/>
        <color theme="1"/>
        <rFont val="Calibri"/>
        <family val="2"/>
        <scheme val="minor"/>
      </rPr>
      <t xml:space="preserve"> per day =</t>
    </r>
  </si>
  <si>
    <r>
      <t xml:space="preserve">kg </t>
    </r>
    <r>
      <rPr>
        <b/>
        <sz val="11"/>
        <color theme="1"/>
        <rFont val="Calibri"/>
        <family val="2"/>
        <scheme val="minor"/>
      </rPr>
      <t>feed pelleted</t>
    </r>
    <r>
      <rPr>
        <sz val="11"/>
        <color theme="1"/>
        <rFont val="Calibri"/>
        <family val="2"/>
        <scheme val="minor"/>
      </rPr>
      <t xml:space="preserve"> per day =</t>
    </r>
  </si>
  <si>
    <t>Bush costs (all prices will be per kg)</t>
  </si>
  <si>
    <t>Add the number of personnel you need, and costs for fuel in the below blocks</t>
  </si>
  <si>
    <t>Add the the amount of bush you wish to harvest daily below.</t>
  </si>
  <si>
    <t>Bush harvesting labour (total)</t>
  </si>
  <si>
    <t xml:space="preserve">persons x </t>
  </si>
  <si>
    <t>costs per day ÷</t>
  </si>
  <si>
    <t>kg bush harvested per day =</t>
  </si>
  <si>
    <t>Bush harvesting fuel (Diesel)</t>
  </si>
  <si>
    <t>price per liter x</t>
  </si>
  <si>
    <t>kg bush produced per day =</t>
  </si>
  <si>
    <t>Bush harvesting fuel (Petrol)</t>
  </si>
  <si>
    <t>costs  per day ÷</t>
  </si>
  <si>
    <t>Bush harvesting (hour)</t>
  </si>
  <si>
    <t>costs per equipment per day  ÷</t>
  </si>
  <si>
    <t>Bush chipping/ milling labour</t>
  </si>
  <si>
    <t>Bush chipping / milling (diesel)</t>
  </si>
  <si>
    <t>liters used per day ÷</t>
  </si>
  <si>
    <t>(Sub-Total - Sum of all of the above)</t>
  </si>
  <si>
    <t>Total bush production cost per kilogram</t>
  </si>
  <si>
    <t>Total bush per 100kg feed</t>
  </si>
  <si>
    <t>kg x</t>
  </si>
  <si>
    <t>price per kg</t>
  </si>
  <si>
    <t>N$/ 100 kg</t>
  </si>
  <si>
    <t>Additives cost (all prices will be per total of 100kg)</t>
  </si>
  <si>
    <t>Add the amount of additives and/or supplements for your mix below.</t>
  </si>
  <si>
    <t>Price per bag ÷</t>
  </si>
  <si>
    <t>kg per bag x</t>
  </si>
  <si>
    <t>kg added per 100kg feed =</t>
  </si>
  <si>
    <t>Camel thorn pods</t>
  </si>
  <si>
    <t>Rangeland grower</t>
  </si>
  <si>
    <t>Molasses without Urea</t>
  </si>
  <si>
    <t>Price per bucket ÷</t>
  </si>
  <si>
    <t>kg per bucket x</t>
  </si>
  <si>
    <t>Molasses with Urea</t>
  </si>
  <si>
    <t>Opuntia</t>
  </si>
  <si>
    <t>Browse Plus (PEG)</t>
  </si>
  <si>
    <t>kg per bucket</t>
  </si>
  <si>
    <t>Price per bale ÷</t>
  </si>
  <si>
    <t>kg per bale</t>
  </si>
  <si>
    <t>Feedlot feed mix of your choice</t>
  </si>
  <si>
    <t>Special bush supplement mix for pellets</t>
  </si>
  <si>
    <t>Transport</t>
  </si>
  <si>
    <t>Total cost for transport ÷</t>
  </si>
  <si>
    <t>kg per load x</t>
  </si>
  <si>
    <t xml:space="preserve">total kg additives per 100kg feed = </t>
  </si>
  <si>
    <t>Total cost of additives per 100kg total feed</t>
  </si>
  <si>
    <t>How much was added per 100kg</t>
  </si>
  <si>
    <t>Drying and mixing cost per 100kg feed</t>
  </si>
  <si>
    <t>Add the details of daily drying &amp; mixing operations, below.</t>
  </si>
  <si>
    <t>Add the amount of total feed you wish to mix daily, below.</t>
  </si>
  <si>
    <t>Feed Mixing (Fuel)</t>
  </si>
  <si>
    <t>price per litre x</t>
  </si>
  <si>
    <t>litres used per day</t>
  </si>
  <si>
    <t>kg feed mixed per day =</t>
  </si>
  <si>
    <t>N$/ kg</t>
  </si>
  <si>
    <t>Transport to drying yard</t>
  </si>
  <si>
    <t>km travel to drying yard x</t>
  </si>
  <si>
    <t>price per km ÷</t>
  </si>
  <si>
    <t>total distance travelled</t>
  </si>
  <si>
    <t>Drying labour to spread bush</t>
  </si>
  <si>
    <t>hours to spread bush x</t>
  </si>
  <si>
    <t>price per labour hour ÷</t>
  </si>
  <si>
    <t>total costs for work</t>
  </si>
  <si>
    <t>Drying labour to collect bush</t>
  </si>
  <si>
    <t>hours to collect bush x</t>
  </si>
  <si>
    <t>Transport back to mixing</t>
  </si>
  <si>
    <t>Mixing labour</t>
  </si>
  <si>
    <t>(Sum of all of the above)</t>
  </si>
  <si>
    <t>Total drying and mixing costs per 100kg feed</t>
  </si>
  <si>
    <t>Pelleting cost per 100kg feed</t>
  </si>
  <si>
    <t>Bush feed pelleting labour</t>
  </si>
  <si>
    <t>Bush feed pelleting fuel</t>
  </si>
  <si>
    <t>Total pelleting costs per 100kg feed</t>
  </si>
  <si>
    <t>Bagging cost per 100kg feed</t>
  </si>
  <si>
    <t>Large bags</t>
  </si>
  <si>
    <t>Price per bag x</t>
  </si>
  <si>
    <t>bags per 100kg feed</t>
  </si>
  <si>
    <t>Maintenance cost for machine per 100kg feed</t>
  </si>
  <si>
    <t>Lump sum for every 250 hours</t>
  </si>
  <si>
    <t>Per service incl traveling ÷</t>
  </si>
  <si>
    <t>Average equipment capacities - maximum kg feed/ day</t>
  </si>
  <si>
    <t>Overhead cost per 100kg feed</t>
  </si>
  <si>
    <t>Manager or owner &amp; other administrator costs</t>
  </si>
  <si>
    <t>% of total feed costs</t>
  </si>
  <si>
    <t>Total cost per 100kg feed</t>
  </si>
  <si>
    <t>(sum of all totals above)</t>
  </si>
  <si>
    <t>Add penalty for less than optimal production</t>
  </si>
  <si>
    <t>% of production for penalty if daily production is smaller than 350kg feed mix per day</t>
  </si>
  <si>
    <t>Add profit, at least 20%</t>
  </si>
  <si>
    <t>% profit</t>
  </si>
  <si>
    <t>Total sales price per 100kg</t>
  </si>
  <si>
    <t>Please note, labour costs already contain PPE</t>
  </si>
  <si>
    <t>off the shelf</t>
  </si>
  <si>
    <t>Please select which equipment you wish to use for processing your bush feed. Answer by adding a number in the block next to equipment.
1, 2, 3, etc. is the amount of equipment you will use; 0 = none.</t>
  </si>
  <si>
    <t>Please ensure you pick one type of diet only for cells F4, F5 or F6. The model will not work correctly if you pick diets simultaneously. Each diet needs its own supplements / additives for the type of animals you wish to feed. By default, the cattle diet is prioritised.</t>
  </si>
  <si>
    <t>Hammermill</t>
  </si>
  <si>
    <t>Hammer Mill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</si>
</sst>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_);_(* \(#,##0.00\);_(* &quot;-&quot;??_);_(@_)"/>
    <numFmt numFmtId="165" formatCode="&quot;N$&quot;#,##0.00"/>
    <numFmt numFmtId="166" formatCode="0.0"/>
    <numFmt numFmtId="167" formatCode="_-&quot;£&quot;* #,##0.00_-;\-&quot;£&quot;* #,##0.00_-;_-&quot;£&quot;* &quot;-&quot;??_-;_-@_-"/>
  </numFmts>
  <fonts count="17" x14ac:knownFonts="1">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rgb="FFFF0000"/>
      <name val="Calibri"/>
      <family val="2"/>
      <scheme val="minor"/>
    </font>
    <font>
      <b/>
      <u/>
      <sz val="11"/>
      <color theme="1"/>
      <name val="Calibri"/>
      <family val="2"/>
      <scheme val="minor"/>
    </font>
    <font>
      <b/>
      <sz val="11"/>
      <color theme="1"/>
      <name val="Calibri"/>
      <family val="2"/>
      <scheme val="minor"/>
    </font>
    <font>
      <b/>
      <sz val="12"/>
      <color rgb="FFFF0000"/>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b/>
      <sz val="10"/>
      <color indexed="81"/>
      <name val="Calibri"/>
      <family val="2"/>
    </font>
    <font>
      <sz val="10"/>
      <color indexed="81"/>
      <name val="Calibri"/>
      <family val="2"/>
    </font>
    <font>
      <sz val="10"/>
      <name val="Verdana"/>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s>
  <borders count="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9">
    <xf numFmtId="0" fontId="0" fillId="0" borderId="0"/>
    <xf numFmtId="164" fontId="1" fillId="0" borderId="0" applyFont="0" applyFill="0" applyBorder="0" applyAlignment="0" applyProtection="0"/>
    <xf numFmtId="0" fontId="3" fillId="0" borderId="0"/>
    <xf numFmtId="164" fontId="13" fillId="0" borderId="0" applyFont="0" applyFill="0" applyBorder="0" applyAlignment="0" applyProtection="0"/>
    <xf numFmtId="167" fontId="14" fillId="0" borderId="0" applyFont="0" applyFill="0" applyBorder="0" applyAlignment="0" applyProtection="0"/>
    <xf numFmtId="0" fontId="15" fillId="0" borderId="0" applyNumberFormat="0" applyFill="0" applyBorder="0" applyAlignment="0" applyProtection="0">
      <alignment vertical="top"/>
      <protection locked="0"/>
    </xf>
    <xf numFmtId="0" fontId="13" fillId="0" borderId="0"/>
    <xf numFmtId="0" fontId="14" fillId="0" borderId="0"/>
    <xf numFmtId="9" fontId="14" fillId="0" borderId="0" applyFont="0" applyFill="0" applyBorder="0" applyAlignment="0" applyProtection="0"/>
  </cellStyleXfs>
  <cellXfs count="77">
    <xf numFmtId="0" fontId="0" fillId="0" borderId="0" xfId="0"/>
    <xf numFmtId="0" fontId="3" fillId="2" borderId="0" xfId="2" applyFill="1"/>
    <xf numFmtId="0" fontId="3" fillId="0" borderId="0" xfId="2"/>
    <xf numFmtId="164" fontId="3" fillId="0" borderId="2" xfId="2" applyNumberFormat="1" applyBorder="1"/>
    <xf numFmtId="164" fontId="3" fillId="0" borderId="0" xfId="2" applyNumberFormat="1" applyBorder="1"/>
    <xf numFmtId="0" fontId="3" fillId="0" borderId="2" xfId="2" applyBorder="1" applyAlignment="1">
      <alignment horizontal="center"/>
    </xf>
    <xf numFmtId="164" fontId="3" fillId="0" borderId="2" xfId="1" applyFont="1" applyBorder="1"/>
    <xf numFmtId="0" fontId="0" fillId="0" borderId="0" xfId="0" quotePrefix="1"/>
    <xf numFmtId="0" fontId="2" fillId="0" borderId="0" xfId="0" applyFont="1"/>
    <xf numFmtId="0" fontId="7" fillId="0" borderId="0" xfId="0" applyFont="1"/>
    <xf numFmtId="0" fontId="2" fillId="0" borderId="0" xfId="0" applyFont="1" applyAlignment="1">
      <alignment wrapText="1"/>
    </xf>
    <xf numFmtId="0" fontId="0" fillId="4" borderId="0" xfId="0" applyFill="1"/>
    <xf numFmtId="0" fontId="0" fillId="0" borderId="0" xfId="0" applyAlignment="1">
      <alignment wrapText="1"/>
    </xf>
    <xf numFmtId="0" fontId="0" fillId="0" borderId="0" xfId="0" applyAlignment="1">
      <alignment horizontal="center"/>
    </xf>
    <xf numFmtId="164" fontId="0" fillId="0" borderId="0" xfId="1" applyFont="1" applyAlignment="1">
      <alignment vertical="center"/>
    </xf>
    <xf numFmtId="164" fontId="0" fillId="2" borderId="2" xfId="1" applyFont="1" applyFill="1" applyBorder="1" applyAlignment="1">
      <alignment vertical="center"/>
    </xf>
    <xf numFmtId="0" fontId="0" fillId="0" borderId="0" xfId="0" applyAlignment="1">
      <alignment horizontal="center" wrapText="1"/>
    </xf>
    <xf numFmtId="164" fontId="0" fillId="0" borderId="0" xfId="1" applyFont="1"/>
    <xf numFmtId="164" fontId="0" fillId="2" borderId="2" xfId="1" applyFont="1" applyFill="1" applyBorder="1"/>
    <xf numFmtId="0" fontId="3" fillId="0" borderId="0" xfId="2" applyAlignment="1">
      <alignment horizontal="center"/>
    </xf>
    <xf numFmtId="0" fontId="3" fillId="3" borderId="2" xfId="2" applyFill="1" applyBorder="1" applyAlignment="1">
      <alignment horizontal="center"/>
    </xf>
    <xf numFmtId="2" fontId="3" fillId="0" borderId="2" xfId="2" applyNumberFormat="1" applyBorder="1"/>
    <xf numFmtId="0" fontId="3" fillId="0" borderId="0" xfId="2" quotePrefix="1"/>
    <xf numFmtId="0" fontId="3" fillId="0" borderId="2" xfId="2" applyBorder="1"/>
    <xf numFmtId="0" fontId="3" fillId="0" borderId="0" xfId="2" applyBorder="1"/>
    <xf numFmtId="165" fontId="4" fillId="0" borderId="0" xfId="2" applyNumberFormat="1" applyFont="1"/>
    <xf numFmtId="2" fontId="6" fillId="3" borderId="2" xfId="2" applyNumberFormat="1" applyFont="1" applyFill="1" applyBorder="1"/>
    <xf numFmtId="0" fontId="6" fillId="3" borderId="2" xfId="2" applyFont="1" applyFill="1" applyBorder="1" applyAlignment="1">
      <alignment wrapText="1"/>
    </xf>
    <xf numFmtId="0" fontId="6" fillId="3" borderId="2" xfId="2" applyFont="1" applyFill="1" applyBorder="1"/>
    <xf numFmtId="0" fontId="3" fillId="0" borderId="0" xfId="2" applyFill="1"/>
    <xf numFmtId="0" fontId="6" fillId="0" borderId="0" xfId="2" applyFont="1" applyFill="1" applyBorder="1" applyAlignment="1">
      <alignment wrapText="1"/>
    </xf>
    <xf numFmtId="0" fontId="3" fillId="0" borderId="0" xfId="2" applyFill="1" applyBorder="1"/>
    <xf numFmtId="0" fontId="3" fillId="0" borderId="0" xfId="2" applyFont="1"/>
    <xf numFmtId="2" fontId="3" fillId="0" borderId="2" xfId="2" applyNumberFormat="1" applyFont="1" applyBorder="1"/>
    <xf numFmtId="0" fontId="6" fillId="0" borderId="0" xfId="2" applyFont="1" applyFill="1" applyBorder="1"/>
    <xf numFmtId="164" fontId="3" fillId="0" borderId="2" xfId="1" applyNumberFormat="1" applyFont="1" applyBorder="1"/>
    <xf numFmtId="165" fontId="6" fillId="0" borderId="0" xfId="2" applyNumberFormat="1" applyFont="1"/>
    <xf numFmtId="164" fontId="3" fillId="0" borderId="0" xfId="1" applyFont="1"/>
    <xf numFmtId="0" fontId="6" fillId="0" borderId="0" xfId="2" applyFont="1"/>
    <xf numFmtId="164" fontId="3" fillId="2" borderId="2" xfId="1" applyNumberFormat="1" applyFont="1" applyFill="1" applyBorder="1"/>
    <xf numFmtId="2" fontId="3" fillId="0" borderId="0" xfId="2" applyNumberFormat="1" applyFont="1" applyBorder="1"/>
    <xf numFmtId="0" fontId="6" fillId="0" borderId="0" xfId="2" applyFont="1" applyAlignment="1">
      <alignment horizontal="center"/>
    </xf>
    <xf numFmtId="165" fontId="6" fillId="0" borderId="0" xfId="2" applyNumberFormat="1" applyFont="1" applyFill="1" applyBorder="1"/>
    <xf numFmtId="165" fontId="5" fillId="0" borderId="0" xfId="2" applyNumberFormat="1" applyFont="1" applyFill="1" applyBorder="1" applyAlignment="1">
      <alignment horizontal="left"/>
    </xf>
    <xf numFmtId="0" fontId="3" fillId="0" borderId="0" xfId="2" applyFont="1" applyAlignment="1">
      <alignment horizontal="center"/>
    </xf>
    <xf numFmtId="0" fontId="3" fillId="0" borderId="2" xfId="2" applyFill="1" applyBorder="1"/>
    <xf numFmtId="2" fontId="6" fillId="2" borderId="2" xfId="2" applyNumberFormat="1" applyFont="1" applyFill="1" applyBorder="1"/>
    <xf numFmtId="2" fontId="6" fillId="0" borderId="0" xfId="2" applyNumberFormat="1" applyFont="1" applyFill="1" applyBorder="1"/>
    <xf numFmtId="43" fontId="3" fillId="0" borderId="2" xfId="2" applyNumberFormat="1" applyBorder="1" applyAlignment="1">
      <alignment horizontal="right"/>
    </xf>
    <xf numFmtId="2" fontId="3" fillId="0" borderId="0" xfId="2" applyNumberFormat="1" applyBorder="1"/>
    <xf numFmtId="166" fontId="6" fillId="0" borderId="0" xfId="2" applyNumberFormat="1" applyFont="1" applyFill="1" applyBorder="1"/>
    <xf numFmtId="0" fontId="9" fillId="0" borderId="0" xfId="0" applyFont="1" applyAlignment="1">
      <alignment horizontal="center"/>
    </xf>
    <xf numFmtId="0" fontId="10" fillId="0" borderId="0" xfId="0" applyFont="1" applyAlignment="1">
      <alignment horizontal="center"/>
    </xf>
    <xf numFmtId="166" fontId="6" fillId="3" borderId="2" xfId="2" applyNumberFormat="1" applyFont="1" applyFill="1" applyBorder="1"/>
    <xf numFmtId="43" fontId="3" fillId="0" borderId="2" xfId="2" applyNumberFormat="1" applyBorder="1"/>
    <xf numFmtId="2" fontId="3" fillId="3" borderId="2" xfId="2" applyNumberFormat="1" applyFill="1" applyBorder="1"/>
    <xf numFmtId="164" fontId="6" fillId="3" borderId="2" xfId="1" applyFont="1" applyFill="1" applyBorder="1"/>
    <xf numFmtId="164" fontId="3" fillId="0" borderId="0" xfId="2" applyNumberFormat="1"/>
    <xf numFmtId="0" fontId="4" fillId="0" borderId="0" xfId="2" applyFont="1"/>
    <xf numFmtId="0" fontId="5" fillId="2" borderId="0" xfId="2" applyFont="1" applyFill="1" applyAlignment="1">
      <alignment horizontal="left"/>
    </xf>
    <xf numFmtId="0" fontId="6" fillId="3" borderId="3" xfId="2" applyFont="1" applyFill="1" applyBorder="1" applyAlignment="1">
      <alignment horizontal="left"/>
    </xf>
    <xf numFmtId="0" fontId="6" fillId="3" borderId="5" xfId="2" applyFont="1" applyFill="1" applyBorder="1" applyAlignment="1">
      <alignment horizontal="left"/>
    </xf>
    <xf numFmtId="0" fontId="0" fillId="0" borderId="0" xfId="0" applyAlignment="1">
      <alignment horizontal="center"/>
    </xf>
    <xf numFmtId="0" fontId="4" fillId="0" borderId="0" xfId="2" applyFont="1" applyFill="1" applyAlignment="1">
      <alignment horizontal="left" wrapText="1"/>
    </xf>
    <xf numFmtId="0" fontId="4" fillId="0" borderId="0" xfId="2" applyFont="1" applyFill="1" applyAlignment="1">
      <alignment horizontal="left" vertical="center" wrapText="1"/>
    </xf>
    <xf numFmtId="0" fontId="4" fillId="0" borderId="6" xfId="2" applyFont="1" applyBorder="1" applyAlignment="1">
      <alignment horizontal="left" vertical="center" wrapText="1"/>
    </xf>
    <xf numFmtId="0" fontId="4" fillId="0" borderId="0" xfId="2" applyFont="1" applyAlignment="1">
      <alignment horizontal="left" vertical="center" wrapText="1"/>
    </xf>
    <xf numFmtId="0" fontId="16" fillId="3" borderId="3" xfId="2" applyFont="1" applyFill="1" applyBorder="1" applyAlignment="1">
      <alignment horizontal="center"/>
    </xf>
    <xf numFmtId="0" fontId="16" fillId="3" borderId="4" xfId="2" applyFont="1" applyFill="1" applyBorder="1" applyAlignment="1">
      <alignment horizontal="center"/>
    </xf>
    <xf numFmtId="0" fontId="16" fillId="3" borderId="5" xfId="2" applyFont="1" applyFill="1" applyBorder="1" applyAlignment="1">
      <alignment horizontal="center"/>
    </xf>
    <xf numFmtId="0" fontId="5" fillId="2" borderId="0" xfId="2" applyFont="1" applyFill="1" applyAlignment="1">
      <alignment horizontal="left" vertical="center" wrapText="1"/>
    </xf>
    <xf numFmtId="0" fontId="5" fillId="2" borderId="0" xfId="2" applyFont="1" applyFill="1" applyBorder="1" applyAlignment="1">
      <alignment horizontal="left"/>
    </xf>
    <xf numFmtId="165" fontId="5" fillId="2" borderId="0" xfId="2" applyNumberFormat="1" applyFont="1" applyFill="1" applyBorder="1" applyAlignment="1">
      <alignment horizontal="left"/>
    </xf>
    <xf numFmtId="0" fontId="5" fillId="2" borderId="0" xfId="2" applyFont="1" applyFill="1" applyAlignment="1">
      <alignment horizontal="left" wrapText="1"/>
    </xf>
    <xf numFmtId="0" fontId="8" fillId="0" borderId="1" xfId="2" applyFont="1" applyBorder="1" applyAlignment="1">
      <alignment horizontal="left" wrapText="1"/>
    </xf>
    <xf numFmtId="0" fontId="8" fillId="0" borderId="0" xfId="2" applyFont="1" applyAlignment="1">
      <alignment horizontal="left" wrapText="1"/>
    </xf>
    <xf numFmtId="164" fontId="3" fillId="0" borderId="0" xfId="1" applyFont="1" applyBorder="1"/>
  </cellXfs>
  <cellStyles count="9">
    <cellStyle name="Comma" xfId="1" builtinId="3"/>
    <cellStyle name="Comma 2" xfId="3"/>
    <cellStyle name="Currency 2" xfId="4"/>
    <cellStyle name="Hyperlink 2" xfId="5"/>
    <cellStyle name="Normal" xfId="0" builtinId="0"/>
    <cellStyle name="Normal 2" xfId="6"/>
    <cellStyle name="Normal 3" xfId="2"/>
    <cellStyle name="Normal 4" xfId="7"/>
    <cellStyle name="Percent 2" xfId="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L15"/>
  <sheetViews>
    <sheetView showGridLines="0" workbookViewId="0">
      <selection activeCell="B16" sqref="B16"/>
    </sheetView>
  </sheetViews>
  <sheetFormatPr baseColWidth="10" defaultRowHeight="16" x14ac:dyDescent="0.2"/>
  <cols>
    <col min="1" max="1" width="21.6640625" customWidth="1"/>
    <col min="2" max="2" width="7.33203125" customWidth="1"/>
    <col min="3" max="3" width="6" customWidth="1"/>
    <col min="4" max="4" width="10" customWidth="1"/>
    <col min="5" max="5" width="25.6640625" customWidth="1"/>
    <col min="6" max="6" width="5.83203125" customWidth="1"/>
    <col min="7" max="7" width="22" customWidth="1"/>
    <col min="8" max="8" width="4.5" customWidth="1"/>
    <col min="9" max="9" width="3.83203125" customWidth="1"/>
  </cols>
  <sheetData>
    <row r="1" spans="1:12" ht="37" customHeight="1" x14ac:dyDescent="0.2">
      <c r="A1" s="63" t="s">
        <v>181</v>
      </c>
      <c r="B1" s="63"/>
      <c r="C1" s="63"/>
      <c r="D1" s="63"/>
      <c r="E1" s="63"/>
      <c r="F1" s="63"/>
      <c r="G1" s="63"/>
      <c r="H1" s="63"/>
      <c r="I1" s="63"/>
      <c r="J1" s="63"/>
      <c r="K1" s="63"/>
      <c r="L1" s="63"/>
    </row>
    <row r="3" spans="1:12" x14ac:dyDescent="0.2">
      <c r="A3" s="59" t="s">
        <v>0</v>
      </c>
      <c r="B3" s="59"/>
      <c r="C3" s="59"/>
      <c r="D3" s="59"/>
      <c r="E3" s="59"/>
      <c r="F3" s="1"/>
      <c r="G3" s="1"/>
      <c r="H3" s="1"/>
      <c r="I3" s="1"/>
      <c r="J3" s="60" t="s">
        <v>1</v>
      </c>
      <c r="K3" s="61"/>
    </row>
    <row r="4" spans="1:12" x14ac:dyDescent="0.2">
      <c r="D4" s="62"/>
      <c r="E4" s="62"/>
    </row>
    <row r="5" spans="1:12" x14ac:dyDescent="0.2">
      <c r="A5" s="2" t="s">
        <v>2</v>
      </c>
      <c r="B5" s="3">
        <v>1</v>
      </c>
      <c r="C5" s="4"/>
      <c r="D5" s="3">
        <v>340</v>
      </c>
      <c r="E5" s="2" t="s">
        <v>3</v>
      </c>
      <c r="F5" s="5">
        <v>8</v>
      </c>
      <c r="G5" s="2" t="s">
        <v>4</v>
      </c>
      <c r="J5" s="6">
        <f>B5*D5*F5</f>
        <v>2720</v>
      </c>
      <c r="K5" s="7" t="s">
        <v>5</v>
      </c>
    </row>
    <row r="6" spans="1:12" x14ac:dyDescent="0.2">
      <c r="A6" s="2" t="s">
        <v>6</v>
      </c>
      <c r="B6" s="3">
        <v>1</v>
      </c>
      <c r="C6" s="4"/>
      <c r="D6" s="3">
        <f>0.5/8</f>
        <v>6.25E-2</v>
      </c>
      <c r="E6" s="2" t="s">
        <v>7</v>
      </c>
      <c r="F6" s="5">
        <v>8</v>
      </c>
      <c r="G6" s="2" t="s">
        <v>4</v>
      </c>
      <c r="J6" s="6">
        <f>B6*D6*10000*0.6*F6</f>
        <v>3000</v>
      </c>
      <c r="K6" s="7" t="s">
        <v>5</v>
      </c>
    </row>
    <row r="7" spans="1:12" x14ac:dyDescent="0.2">
      <c r="A7" s="2" t="s">
        <v>8</v>
      </c>
      <c r="B7" s="3">
        <v>0</v>
      </c>
      <c r="C7" s="4"/>
      <c r="D7" s="3">
        <f>0.5/8</f>
        <v>6.25E-2</v>
      </c>
      <c r="E7" s="2" t="s">
        <v>7</v>
      </c>
      <c r="F7" s="5">
        <v>8</v>
      </c>
      <c r="G7" s="2" t="s">
        <v>4</v>
      </c>
      <c r="J7" s="6">
        <f t="shared" ref="J7:J11" si="0">B7*D7*10000*0.6*F7</f>
        <v>0</v>
      </c>
      <c r="K7" s="7" t="s">
        <v>5</v>
      </c>
    </row>
    <row r="8" spans="1:12" x14ac:dyDescent="0.2">
      <c r="A8" s="2" t="s">
        <v>9</v>
      </c>
      <c r="B8" s="3">
        <v>0</v>
      </c>
      <c r="C8" s="4"/>
      <c r="D8" s="3">
        <f>D7*1.25</f>
        <v>7.8125E-2</v>
      </c>
      <c r="E8" s="2" t="s">
        <v>7</v>
      </c>
      <c r="F8" s="5">
        <v>8</v>
      </c>
      <c r="G8" s="2" t="s">
        <v>4</v>
      </c>
      <c r="J8" s="6">
        <f t="shared" si="0"/>
        <v>0</v>
      </c>
      <c r="K8" s="7" t="s">
        <v>5</v>
      </c>
    </row>
    <row r="9" spans="1:12" x14ac:dyDescent="0.2">
      <c r="A9" s="2" t="s">
        <v>10</v>
      </c>
      <c r="B9" s="3">
        <v>1</v>
      </c>
      <c r="C9" s="4"/>
      <c r="D9" s="3">
        <v>400</v>
      </c>
      <c r="E9" s="2" t="s">
        <v>11</v>
      </c>
      <c r="F9" s="5">
        <v>8</v>
      </c>
      <c r="G9" s="2" t="s">
        <v>4</v>
      </c>
      <c r="J9" s="6">
        <f>B9*D9*F9</f>
        <v>3200</v>
      </c>
      <c r="K9" s="7" t="s">
        <v>5</v>
      </c>
    </row>
    <row r="10" spans="1:12" x14ac:dyDescent="0.2">
      <c r="A10" s="2" t="s">
        <v>12</v>
      </c>
      <c r="B10" s="3">
        <v>0</v>
      </c>
      <c r="C10" s="4"/>
      <c r="D10" s="3">
        <f>3.5/8</f>
        <v>0.4375</v>
      </c>
      <c r="E10" s="2" t="s">
        <v>7</v>
      </c>
      <c r="F10" s="5">
        <v>8</v>
      </c>
      <c r="G10" s="2" t="s">
        <v>4</v>
      </c>
      <c r="J10" s="6">
        <f>B10*D10*10000*0.6*F10</f>
        <v>0</v>
      </c>
      <c r="K10" s="7" t="s">
        <v>5</v>
      </c>
    </row>
    <row r="11" spans="1:12" x14ac:dyDescent="0.2">
      <c r="A11" s="2" t="s">
        <v>13</v>
      </c>
      <c r="B11" s="3">
        <v>0</v>
      </c>
      <c r="C11" s="4"/>
      <c r="D11" s="3">
        <f>3.5/8</f>
        <v>0.4375</v>
      </c>
      <c r="E11" s="2" t="s">
        <v>7</v>
      </c>
      <c r="F11" s="5">
        <v>8</v>
      </c>
      <c r="G11" s="2" t="s">
        <v>4</v>
      </c>
      <c r="J11" s="6">
        <f>B11*D11*10000*0.6*F11</f>
        <v>0</v>
      </c>
      <c r="K11" s="7" t="s">
        <v>5</v>
      </c>
    </row>
    <row r="12" spans="1:12" x14ac:dyDescent="0.2">
      <c r="A12" s="2" t="s">
        <v>183</v>
      </c>
      <c r="B12" s="3">
        <v>0</v>
      </c>
      <c r="C12" s="4"/>
      <c r="D12" s="3">
        <v>400</v>
      </c>
      <c r="E12" s="2" t="s">
        <v>11</v>
      </c>
      <c r="F12" s="5">
        <v>8</v>
      </c>
      <c r="G12" s="2" t="s">
        <v>4</v>
      </c>
      <c r="J12" s="6">
        <f>B12*D12*F12</f>
        <v>0</v>
      </c>
      <c r="K12" s="7" t="s">
        <v>5</v>
      </c>
    </row>
    <row r="13" spans="1:12" x14ac:dyDescent="0.2">
      <c r="A13" s="2" t="s">
        <v>14</v>
      </c>
      <c r="B13" s="3">
        <v>0</v>
      </c>
      <c r="C13" s="4"/>
      <c r="D13" s="3">
        <v>120</v>
      </c>
      <c r="E13" s="2" t="s">
        <v>11</v>
      </c>
      <c r="F13" s="5">
        <v>8</v>
      </c>
      <c r="G13" s="2" t="s">
        <v>4</v>
      </c>
      <c r="J13" s="6">
        <f>B13*D13*F13</f>
        <v>0</v>
      </c>
      <c r="K13" s="7" t="s">
        <v>5</v>
      </c>
    </row>
    <row r="14" spans="1:12" x14ac:dyDescent="0.2">
      <c r="A14" s="2" t="s">
        <v>15</v>
      </c>
      <c r="B14" s="3">
        <v>0</v>
      </c>
      <c r="C14" s="4"/>
      <c r="D14" s="3">
        <v>340</v>
      </c>
      <c r="E14" s="2" t="s">
        <v>11</v>
      </c>
      <c r="F14" s="5">
        <v>8</v>
      </c>
      <c r="G14" s="2" t="s">
        <v>4</v>
      </c>
      <c r="J14" s="6">
        <f>B14*D14*F14</f>
        <v>0</v>
      </c>
      <c r="K14" s="7" t="s">
        <v>5</v>
      </c>
    </row>
    <row r="15" spans="1:12" x14ac:dyDescent="0.2">
      <c r="A15" s="2" t="s">
        <v>16</v>
      </c>
      <c r="B15" s="3">
        <v>0</v>
      </c>
      <c r="C15" s="4"/>
      <c r="D15" s="3">
        <v>800</v>
      </c>
      <c r="E15" s="2" t="s">
        <v>11</v>
      </c>
      <c r="F15" s="5">
        <v>8</v>
      </c>
      <c r="G15" s="2" t="s">
        <v>4</v>
      </c>
      <c r="J15" s="6">
        <f>B15*D15*F15</f>
        <v>0</v>
      </c>
      <c r="K15" s="7" t="s">
        <v>5</v>
      </c>
    </row>
  </sheetData>
  <mergeCells count="4">
    <mergeCell ref="A3:E3"/>
    <mergeCell ref="J3:K3"/>
    <mergeCell ref="D4:E4"/>
    <mergeCell ref="A1:L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B2:J26"/>
  <sheetViews>
    <sheetView showGridLines="0" workbookViewId="0">
      <selection activeCell="B18" sqref="B18"/>
    </sheetView>
  </sheetViews>
  <sheetFormatPr baseColWidth="10" defaultRowHeight="16" x14ac:dyDescent="0.2"/>
  <cols>
    <col min="1" max="1" width="4.33203125" customWidth="1"/>
    <col min="2" max="2" width="21.6640625" customWidth="1"/>
    <col min="3" max="5" width="13.6640625" customWidth="1"/>
    <col min="6" max="8" width="15.83203125" customWidth="1"/>
    <col min="10" max="10" width="22.6640625" customWidth="1"/>
  </cols>
  <sheetData>
    <row r="2" spans="2:10" x14ac:dyDescent="0.2">
      <c r="B2" s="8" t="s">
        <v>17</v>
      </c>
    </row>
    <row r="3" spans="2:10" x14ac:dyDescent="0.2">
      <c r="B3" s="9" t="s">
        <v>18</v>
      </c>
    </row>
    <row r="4" spans="2:10" ht="32" x14ac:dyDescent="0.2">
      <c r="C4" s="10" t="s">
        <v>19</v>
      </c>
      <c r="D4" s="10" t="s">
        <v>20</v>
      </c>
      <c r="E4" s="10" t="s">
        <v>21</v>
      </c>
      <c r="F4" s="10" t="s">
        <v>22</v>
      </c>
      <c r="G4" s="10" t="s">
        <v>23</v>
      </c>
      <c r="H4" s="10" t="s">
        <v>24</v>
      </c>
      <c r="I4" s="8" t="s">
        <v>25</v>
      </c>
      <c r="J4" s="10" t="s">
        <v>26</v>
      </c>
    </row>
    <row r="5" spans="2:10" ht="8" customHeight="1" x14ac:dyDescent="0.2">
      <c r="B5" s="11"/>
      <c r="C5" s="11"/>
      <c r="D5" s="11"/>
      <c r="E5" s="11"/>
      <c r="F5" s="11"/>
      <c r="G5" s="11"/>
      <c r="H5" s="11"/>
      <c r="I5" s="11"/>
      <c r="J5" s="11"/>
    </row>
    <row r="6" spans="2:10" x14ac:dyDescent="0.2">
      <c r="B6" s="12" t="s">
        <v>27</v>
      </c>
      <c r="C6" s="13" t="s">
        <v>28</v>
      </c>
      <c r="D6" s="13">
        <v>1</v>
      </c>
      <c r="E6" s="13" t="s">
        <v>180</v>
      </c>
      <c r="F6" s="14"/>
      <c r="G6" s="15">
        <v>14.91</v>
      </c>
      <c r="H6" s="14">
        <f t="shared" ref="H6:H22" si="0">G6/D6</f>
        <v>14.91</v>
      </c>
      <c r="I6" s="14"/>
      <c r="J6" t="s">
        <v>29</v>
      </c>
    </row>
    <row r="7" spans="2:10" x14ac:dyDescent="0.2">
      <c r="B7" s="12" t="s">
        <v>30</v>
      </c>
      <c r="C7" s="13" t="s">
        <v>31</v>
      </c>
      <c r="D7" s="13">
        <v>50</v>
      </c>
      <c r="E7" s="13" t="s">
        <v>180</v>
      </c>
      <c r="F7" s="14"/>
      <c r="G7" s="15">
        <v>222.33</v>
      </c>
      <c r="H7" s="14">
        <f t="shared" si="0"/>
        <v>4.4466000000000001</v>
      </c>
      <c r="I7" s="14"/>
      <c r="J7" t="s">
        <v>32</v>
      </c>
    </row>
    <row r="8" spans="2:10" x14ac:dyDescent="0.2">
      <c r="B8" s="12" t="s">
        <v>33</v>
      </c>
      <c r="C8" s="13" t="s">
        <v>31</v>
      </c>
      <c r="D8" s="13">
        <v>50</v>
      </c>
      <c r="E8" s="13" t="s">
        <v>180</v>
      </c>
      <c r="F8" s="14"/>
      <c r="G8" s="15">
        <v>206.16</v>
      </c>
      <c r="H8" s="14">
        <f t="shared" si="0"/>
        <v>4.1231999999999998</v>
      </c>
      <c r="I8" s="14"/>
      <c r="J8" t="s">
        <v>32</v>
      </c>
    </row>
    <row r="9" spans="2:10" x14ac:dyDescent="0.2">
      <c r="B9" s="12" t="s">
        <v>34</v>
      </c>
      <c r="C9" s="13" t="s">
        <v>35</v>
      </c>
      <c r="D9" s="13">
        <v>10</v>
      </c>
      <c r="E9" s="13" t="s">
        <v>180</v>
      </c>
      <c r="F9" s="14"/>
      <c r="G9" s="15">
        <v>1480.37</v>
      </c>
      <c r="H9" s="14">
        <f t="shared" si="0"/>
        <v>148.03699999999998</v>
      </c>
      <c r="I9" s="14"/>
      <c r="J9" t="s">
        <v>32</v>
      </c>
    </row>
    <row r="10" spans="2:10" ht="32" x14ac:dyDescent="0.2">
      <c r="B10" s="12" t="s">
        <v>36</v>
      </c>
      <c r="C10" s="13" t="s">
        <v>28</v>
      </c>
      <c r="D10" s="13">
        <v>25</v>
      </c>
      <c r="E10" s="13" t="s">
        <v>180</v>
      </c>
      <c r="F10" s="14"/>
      <c r="G10" s="15">
        <v>152.88</v>
      </c>
      <c r="H10" s="14">
        <f t="shared" si="0"/>
        <v>6.1151999999999997</v>
      </c>
      <c r="I10" s="14"/>
      <c r="J10" t="s">
        <v>32</v>
      </c>
    </row>
    <row r="11" spans="2:10" x14ac:dyDescent="0.2">
      <c r="B11" s="12" t="s">
        <v>37</v>
      </c>
      <c r="C11" s="13" t="s">
        <v>28</v>
      </c>
      <c r="D11" s="13">
        <v>25</v>
      </c>
      <c r="E11" s="13" t="s">
        <v>180</v>
      </c>
      <c r="F11" s="14"/>
      <c r="G11" s="15">
        <v>163</v>
      </c>
      <c r="H11" s="14">
        <f t="shared" si="0"/>
        <v>6.52</v>
      </c>
      <c r="I11" s="14"/>
      <c r="J11" t="s">
        <v>32</v>
      </c>
    </row>
    <row r="12" spans="2:10" x14ac:dyDescent="0.2">
      <c r="B12" s="12" t="s">
        <v>38</v>
      </c>
      <c r="C12" s="13" t="s">
        <v>28</v>
      </c>
      <c r="D12" s="13">
        <v>25</v>
      </c>
      <c r="E12" s="13" t="s">
        <v>180</v>
      </c>
      <c r="F12" s="14"/>
      <c r="G12" s="15">
        <v>177.33</v>
      </c>
      <c r="H12" s="14">
        <f t="shared" si="0"/>
        <v>7.0932000000000004</v>
      </c>
      <c r="I12" s="14"/>
      <c r="J12" t="s">
        <v>32</v>
      </c>
    </row>
    <row r="13" spans="2:10" x14ac:dyDescent="0.2">
      <c r="B13" s="12" t="s">
        <v>39</v>
      </c>
      <c r="C13" s="13" t="s">
        <v>31</v>
      </c>
      <c r="D13" s="13">
        <v>50</v>
      </c>
      <c r="E13" s="13" t="s">
        <v>180</v>
      </c>
      <c r="F13" s="14"/>
      <c r="G13" s="15">
        <v>309.22000000000003</v>
      </c>
      <c r="H13" s="14">
        <f t="shared" si="0"/>
        <v>6.1844000000000001</v>
      </c>
      <c r="I13" s="14"/>
      <c r="J13" t="s">
        <v>32</v>
      </c>
    </row>
    <row r="14" spans="2:10" ht="32" x14ac:dyDescent="0.2">
      <c r="B14" s="12" t="s">
        <v>40</v>
      </c>
      <c r="C14" s="13" t="s">
        <v>31</v>
      </c>
      <c r="D14" s="13">
        <v>50</v>
      </c>
      <c r="E14" s="13" t="s">
        <v>180</v>
      </c>
      <c r="F14" s="14">
        <v>175</v>
      </c>
      <c r="G14" s="15"/>
      <c r="H14" s="14">
        <f>F14/D14</f>
        <v>3.5</v>
      </c>
      <c r="I14" s="14"/>
      <c r="J14" t="s">
        <v>32</v>
      </c>
    </row>
    <row r="15" spans="2:10" x14ac:dyDescent="0.2">
      <c r="B15" s="12" t="s">
        <v>41</v>
      </c>
      <c r="C15" s="13" t="s">
        <v>42</v>
      </c>
      <c r="D15" s="13">
        <v>40</v>
      </c>
      <c r="E15" s="13" t="s">
        <v>43</v>
      </c>
      <c r="F15" s="14"/>
      <c r="G15" s="15">
        <v>40</v>
      </c>
      <c r="H15" s="14">
        <f t="shared" si="0"/>
        <v>1</v>
      </c>
      <c r="I15" s="14"/>
      <c r="J15" t="s">
        <v>44</v>
      </c>
    </row>
    <row r="16" spans="2:10" x14ac:dyDescent="0.2">
      <c r="B16" s="12" t="s">
        <v>45</v>
      </c>
      <c r="C16" s="13" t="s">
        <v>31</v>
      </c>
      <c r="D16" s="13">
        <v>1</v>
      </c>
      <c r="E16" s="13" t="s">
        <v>43</v>
      </c>
      <c r="F16" s="14">
        <v>2.5</v>
      </c>
      <c r="G16" s="15"/>
      <c r="H16" s="14">
        <f>F16/D16</f>
        <v>2.5</v>
      </c>
      <c r="I16" s="14"/>
      <c r="J16" t="s">
        <v>44</v>
      </c>
    </row>
    <row r="17" spans="2:10" x14ac:dyDescent="0.2">
      <c r="B17" s="12" t="s">
        <v>122</v>
      </c>
      <c r="C17" s="13" t="s">
        <v>46</v>
      </c>
      <c r="D17" s="13">
        <v>1000</v>
      </c>
      <c r="E17" s="13" t="s">
        <v>43</v>
      </c>
      <c r="F17" s="14">
        <f>800*13/8</f>
        <v>1300</v>
      </c>
      <c r="G17" s="15"/>
      <c r="H17" s="14">
        <f>F17/D17</f>
        <v>1.3</v>
      </c>
      <c r="I17" s="14"/>
      <c r="J17" t="s">
        <v>44</v>
      </c>
    </row>
    <row r="18" spans="2:10" x14ac:dyDescent="0.2">
      <c r="B18" s="12" t="s">
        <v>47</v>
      </c>
      <c r="C18" s="13" t="s">
        <v>48</v>
      </c>
      <c r="D18" s="13">
        <v>18</v>
      </c>
      <c r="E18" s="13" t="s">
        <v>43</v>
      </c>
      <c r="F18" s="14"/>
      <c r="G18" s="15">
        <v>80.5</v>
      </c>
      <c r="H18" s="14">
        <f t="shared" si="0"/>
        <v>4.4722222222222223</v>
      </c>
      <c r="I18" s="14"/>
      <c r="J18" t="s">
        <v>49</v>
      </c>
    </row>
    <row r="19" spans="2:10" x14ac:dyDescent="0.2">
      <c r="B19" s="12" t="s">
        <v>50</v>
      </c>
      <c r="C19" s="13" t="s">
        <v>48</v>
      </c>
      <c r="D19" s="13">
        <v>18</v>
      </c>
      <c r="E19" s="13" t="s">
        <v>43</v>
      </c>
      <c r="F19" s="14"/>
      <c r="G19" s="15">
        <v>95.65</v>
      </c>
      <c r="H19" s="14">
        <f t="shared" si="0"/>
        <v>5.3138888888888891</v>
      </c>
      <c r="I19" s="14"/>
      <c r="J19" t="s">
        <v>49</v>
      </c>
    </row>
    <row r="20" spans="2:10" ht="32" x14ac:dyDescent="0.2">
      <c r="B20" s="12" t="s">
        <v>51</v>
      </c>
      <c r="C20" s="13" t="s">
        <v>31</v>
      </c>
      <c r="D20" s="13">
        <v>50</v>
      </c>
      <c r="E20" s="16" t="s">
        <v>52</v>
      </c>
      <c r="F20" s="17">
        <v>175</v>
      </c>
      <c r="G20" s="18">
        <v>277.23</v>
      </c>
      <c r="H20" s="14">
        <f t="shared" si="0"/>
        <v>5.5446</v>
      </c>
      <c r="J20" t="s">
        <v>32</v>
      </c>
    </row>
    <row r="21" spans="2:10" ht="32" x14ac:dyDescent="0.2">
      <c r="B21" s="12" t="s">
        <v>53</v>
      </c>
      <c r="C21" s="13" t="s">
        <v>31</v>
      </c>
      <c r="D21" s="13">
        <v>50</v>
      </c>
      <c r="E21" s="13" t="s">
        <v>54</v>
      </c>
      <c r="F21" s="17">
        <v>165</v>
      </c>
      <c r="G21" s="18">
        <v>310</v>
      </c>
      <c r="H21" s="14">
        <f t="shared" si="0"/>
        <v>6.2</v>
      </c>
      <c r="J21" t="s">
        <v>55</v>
      </c>
    </row>
    <row r="22" spans="2:10" x14ac:dyDescent="0.2">
      <c r="B22" s="12" t="s">
        <v>56</v>
      </c>
      <c r="C22" s="13" t="s">
        <v>42</v>
      </c>
      <c r="D22" s="13">
        <v>40</v>
      </c>
      <c r="E22" s="13" t="s">
        <v>180</v>
      </c>
      <c r="F22" s="17"/>
      <c r="G22" s="18">
        <v>252</v>
      </c>
      <c r="H22" s="14">
        <f t="shared" si="0"/>
        <v>6.3</v>
      </c>
      <c r="J22" t="s">
        <v>32</v>
      </c>
    </row>
    <row r="23" spans="2:10" x14ac:dyDescent="0.2">
      <c r="B23" s="12" t="s">
        <v>57</v>
      </c>
      <c r="C23" s="13" t="s">
        <v>42</v>
      </c>
      <c r="D23" s="13">
        <v>40</v>
      </c>
      <c r="E23" s="13" t="s">
        <v>180</v>
      </c>
      <c r="F23" s="17"/>
      <c r="G23" s="18">
        <v>192</v>
      </c>
      <c r="H23" s="14">
        <f>G23/D23</f>
        <v>4.8</v>
      </c>
      <c r="J23" t="s">
        <v>32</v>
      </c>
    </row>
    <row r="24" spans="2:10" x14ac:dyDescent="0.2">
      <c r="B24" s="12" t="s">
        <v>58</v>
      </c>
      <c r="C24" s="13" t="s">
        <v>31</v>
      </c>
      <c r="D24" s="13">
        <v>50</v>
      </c>
      <c r="E24" s="13" t="s">
        <v>180</v>
      </c>
      <c r="F24" s="17"/>
      <c r="G24" s="18">
        <v>195</v>
      </c>
      <c r="H24" s="17">
        <f>G24/D24</f>
        <v>3.9</v>
      </c>
      <c r="J24" t="s">
        <v>32</v>
      </c>
    </row>
    <row r="25" spans="2:10" x14ac:dyDescent="0.2">
      <c r="B25" s="12" t="s">
        <v>59</v>
      </c>
      <c r="C25" s="13" t="s">
        <v>48</v>
      </c>
      <c r="D25" s="13">
        <v>18</v>
      </c>
      <c r="E25" s="13" t="s">
        <v>43</v>
      </c>
      <c r="F25" s="17">
        <v>184</v>
      </c>
      <c r="G25" s="18"/>
      <c r="H25" s="17">
        <f>F25/D25</f>
        <v>10.222222222222221</v>
      </c>
      <c r="J25" t="s">
        <v>60</v>
      </c>
    </row>
    <row r="26" spans="2:10" x14ac:dyDescent="0.2">
      <c r="F26" s="17"/>
      <c r="G26" s="17"/>
      <c r="H26"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C000"/>
  </sheetPr>
  <dimension ref="A1:L97"/>
  <sheetViews>
    <sheetView showGridLines="0" tabSelected="1" zoomScale="90" zoomScaleNormal="90" workbookViewId="0">
      <selection sqref="A1:I1"/>
    </sheetView>
  </sheetViews>
  <sheetFormatPr baseColWidth="10" defaultColWidth="8.83203125" defaultRowHeight="15" x14ac:dyDescent="0.2"/>
  <cols>
    <col min="1" max="1" width="36.1640625" style="2" customWidth="1"/>
    <col min="2" max="2" width="7.5" style="2" bestFit="1" customWidth="1"/>
    <col min="3" max="3" width="27.6640625" style="2" customWidth="1"/>
    <col min="4" max="4" width="11.5" style="2" customWidth="1"/>
    <col min="5" max="5" width="24.5" style="2" customWidth="1"/>
    <col min="6" max="6" width="10.1640625" style="2" bestFit="1" customWidth="1"/>
    <col min="7" max="7" width="33.5" style="2" customWidth="1"/>
    <col min="8" max="8" width="8.83203125" style="2"/>
    <col min="9" max="9" width="8.83203125" style="19"/>
    <col min="10" max="10" width="42.1640625" style="2" customWidth="1"/>
    <col min="11" max="11" width="8.83203125" style="2"/>
    <col min="12" max="12" width="10.5" style="2" bestFit="1" customWidth="1"/>
    <col min="13" max="16384" width="8.83203125" style="2"/>
  </cols>
  <sheetData>
    <row r="1" spans="1:10" ht="32" customHeight="1" x14ac:dyDescent="0.25">
      <c r="A1" s="67" t="s">
        <v>61</v>
      </c>
      <c r="B1" s="68"/>
      <c r="C1" s="68"/>
      <c r="D1" s="68"/>
      <c r="E1" s="68"/>
      <c r="F1" s="68"/>
      <c r="G1" s="68"/>
      <c r="H1" s="68"/>
      <c r="I1" s="69"/>
    </row>
    <row r="2" spans="1:10" ht="9" customHeight="1" x14ac:dyDescent="0.2"/>
    <row r="3" spans="1:10" ht="16" customHeight="1" x14ac:dyDescent="0.2">
      <c r="A3" s="59" t="s">
        <v>62</v>
      </c>
      <c r="B3" s="59"/>
      <c r="C3" s="59"/>
      <c r="D3" s="1"/>
      <c r="E3" s="1"/>
      <c r="F3" s="1"/>
      <c r="G3" s="1"/>
      <c r="H3" s="20" t="s">
        <v>63</v>
      </c>
      <c r="I3" s="20" t="s">
        <v>64</v>
      </c>
      <c r="J3" s="28" t="s">
        <v>77</v>
      </c>
    </row>
    <row r="4" spans="1:10" ht="16" customHeight="1" x14ac:dyDescent="0.2">
      <c r="A4" s="2" t="s">
        <v>65</v>
      </c>
      <c r="B4" s="3">
        <v>3</v>
      </c>
      <c r="C4" s="2" t="s">
        <v>66</v>
      </c>
      <c r="D4" s="21">
        <v>500</v>
      </c>
      <c r="E4" s="2" t="s">
        <v>67</v>
      </c>
      <c r="F4" s="21">
        <v>85</v>
      </c>
      <c r="G4" s="22" t="s">
        <v>68</v>
      </c>
      <c r="H4" s="21">
        <f>B4*D4*F4%</f>
        <v>1275</v>
      </c>
      <c r="I4" s="19" t="s">
        <v>69</v>
      </c>
      <c r="J4" s="65" t="s">
        <v>182</v>
      </c>
    </row>
    <row r="5" spans="1:10" ht="16" customHeight="1" x14ac:dyDescent="0.2">
      <c r="A5" s="2" t="s">
        <v>70</v>
      </c>
      <c r="B5" s="3">
        <v>1</v>
      </c>
      <c r="C5" s="2" t="s">
        <v>66</v>
      </c>
      <c r="D5" s="21">
        <v>700</v>
      </c>
      <c r="E5" s="2" t="s">
        <v>71</v>
      </c>
      <c r="F5" s="21">
        <v>0</v>
      </c>
      <c r="G5" s="22" t="s">
        <v>68</v>
      </c>
      <c r="H5" s="21">
        <f t="shared" ref="H5:H6" si="0">B5*D5*F5%</f>
        <v>0</v>
      </c>
      <c r="I5" s="19" t="s">
        <v>69</v>
      </c>
      <c r="J5" s="66"/>
    </row>
    <row r="6" spans="1:10" ht="16" customHeight="1" x14ac:dyDescent="0.2">
      <c r="A6" s="2" t="s">
        <v>72</v>
      </c>
      <c r="B6" s="3">
        <v>1.5</v>
      </c>
      <c r="C6" s="2" t="s">
        <v>66</v>
      </c>
      <c r="D6" s="23">
        <v>0</v>
      </c>
      <c r="E6" s="2" t="s">
        <v>73</v>
      </c>
      <c r="F6" s="21">
        <v>0</v>
      </c>
      <c r="G6" s="22" t="s">
        <v>68</v>
      </c>
      <c r="H6" s="21">
        <f t="shared" si="0"/>
        <v>0</v>
      </c>
      <c r="I6" s="19" t="s">
        <v>69</v>
      </c>
      <c r="J6" s="66"/>
    </row>
    <row r="7" spans="1:10" ht="16" customHeight="1" x14ac:dyDescent="0.2">
      <c r="B7" s="4"/>
      <c r="D7" s="24"/>
      <c r="F7" s="24"/>
      <c r="G7" s="22"/>
      <c r="H7" s="24"/>
      <c r="J7" s="66"/>
    </row>
    <row r="8" spans="1:10" ht="16" customHeight="1" x14ac:dyDescent="0.2">
      <c r="A8" s="25" t="s">
        <v>74</v>
      </c>
      <c r="H8" s="26">
        <f>SUM(H4:H6)</f>
        <v>1275</v>
      </c>
      <c r="I8" s="19" t="s">
        <v>69</v>
      </c>
      <c r="J8" s="66"/>
    </row>
    <row r="9" spans="1:10" ht="16" customHeight="1" x14ac:dyDescent="0.2"/>
    <row r="10" spans="1:10" ht="35" customHeight="1" x14ac:dyDescent="0.2">
      <c r="A10" s="70" t="s">
        <v>75</v>
      </c>
      <c r="B10" s="70"/>
      <c r="C10" s="70"/>
      <c r="D10" s="70"/>
      <c r="E10" s="70"/>
      <c r="F10" s="70"/>
      <c r="G10" s="1"/>
      <c r="H10" s="27" t="s">
        <v>76</v>
      </c>
      <c r="J10" s="28" t="s">
        <v>77</v>
      </c>
    </row>
    <row r="11" spans="1:10" ht="18" customHeight="1" x14ac:dyDescent="0.2">
      <c r="A11" s="64" t="s">
        <v>78</v>
      </c>
      <c r="B11" s="64"/>
      <c r="C11" s="64"/>
      <c r="D11" s="64"/>
      <c r="E11" s="29"/>
      <c r="F11" s="29"/>
      <c r="G11" s="29"/>
      <c r="H11" s="30"/>
      <c r="J11" s="31"/>
    </row>
    <row r="12" spans="1:10" ht="16" customHeight="1" x14ac:dyDescent="0.2">
      <c r="A12" s="2" t="s">
        <v>2</v>
      </c>
      <c r="B12" s="3">
        <v>585</v>
      </c>
      <c r="C12" s="2" t="s">
        <v>79</v>
      </c>
      <c r="D12" s="6">
        <f>'Equipment Selection'!J5</f>
        <v>2720</v>
      </c>
      <c r="E12" s="32" t="s">
        <v>80</v>
      </c>
      <c r="F12" s="6">
        <f>IF('Equipment Selection'!B5&gt;0,$B$4*$D$4+$B$5*$D$5+$B$6*$D$6,0)</f>
        <v>2200</v>
      </c>
      <c r="G12" s="2" t="s">
        <v>81</v>
      </c>
      <c r="H12" s="33">
        <f t="shared" ref="H12:H22" si="1">IF(F12=0,0,B12*8/F12)</f>
        <v>2.1272727272727274</v>
      </c>
      <c r="I12" s="19" t="s">
        <v>82</v>
      </c>
      <c r="J12" s="2" t="str">
        <f>IF(F12&gt;D12,"daily production volume too much, adjust production","daily production volume ok")</f>
        <v>daily production volume ok</v>
      </c>
    </row>
    <row r="13" spans="1:10" ht="16" customHeight="1" x14ac:dyDescent="0.2">
      <c r="A13" s="2" t="s">
        <v>6</v>
      </c>
      <c r="B13" s="3">
        <v>18.97</v>
      </c>
      <c r="C13" s="2" t="s">
        <v>79</v>
      </c>
      <c r="D13" s="6">
        <f>'Equipment Selection'!J6</f>
        <v>3000</v>
      </c>
      <c r="E13" s="32" t="s">
        <v>80</v>
      </c>
      <c r="F13" s="6">
        <f>IF('Equipment Selection'!B6&gt;0,'Costing model generic'!$H$8*6,0)</f>
        <v>7650</v>
      </c>
      <c r="G13" s="2" t="s">
        <v>83</v>
      </c>
      <c r="H13" s="33">
        <f t="shared" si="1"/>
        <v>1.9837908496732025E-2</v>
      </c>
      <c r="I13" s="19" t="s">
        <v>82</v>
      </c>
      <c r="J13" s="2" t="str">
        <f t="shared" ref="J13:J22" si="2">IF(F13&gt;D13,"daily production volume too much, adjust production","daily production volume ok")</f>
        <v>daily production volume too much, adjust production</v>
      </c>
    </row>
    <row r="14" spans="1:10" ht="16" customHeight="1" x14ac:dyDescent="0.2">
      <c r="A14" s="2" t="s">
        <v>8</v>
      </c>
      <c r="B14" s="3">
        <v>10.69</v>
      </c>
      <c r="C14" s="2" t="s">
        <v>79</v>
      </c>
      <c r="D14" s="6">
        <f>'Equipment Selection'!J7</f>
        <v>0</v>
      </c>
      <c r="E14" s="32" t="s">
        <v>80</v>
      </c>
      <c r="F14" s="6">
        <f>IF('Equipment Selection'!B7&gt;0,'Costing model generic'!$H$8*6,0)</f>
        <v>0</v>
      </c>
      <c r="G14" s="2" t="s">
        <v>83</v>
      </c>
      <c r="H14" s="33">
        <f>IF(F14=0,0,B14*8/F14)</f>
        <v>0</v>
      </c>
      <c r="I14" s="19" t="s">
        <v>82</v>
      </c>
      <c r="J14" s="2" t="str">
        <f t="shared" si="2"/>
        <v>daily production volume ok</v>
      </c>
    </row>
    <row r="15" spans="1:10" ht="16" customHeight="1" x14ac:dyDescent="0.2">
      <c r="A15" s="2" t="s">
        <v>9</v>
      </c>
      <c r="B15" s="3">
        <v>13.36</v>
      </c>
      <c r="C15" s="2" t="s">
        <v>79</v>
      </c>
      <c r="D15" s="6">
        <f>'Equipment Selection'!J8</f>
        <v>0</v>
      </c>
      <c r="E15" s="32" t="s">
        <v>80</v>
      </c>
      <c r="F15" s="6">
        <f>IF('Equipment Selection'!B8&gt;0,'Costing model generic'!$H$8*6,0)</f>
        <v>0</v>
      </c>
      <c r="G15" s="2" t="s">
        <v>83</v>
      </c>
      <c r="H15" s="33">
        <f t="shared" si="1"/>
        <v>0</v>
      </c>
      <c r="I15" s="19" t="s">
        <v>82</v>
      </c>
      <c r="J15" s="2" t="str">
        <f t="shared" si="2"/>
        <v>daily production volume ok</v>
      </c>
    </row>
    <row r="16" spans="1:10" ht="16" customHeight="1" x14ac:dyDescent="0.2">
      <c r="A16" s="2" t="s">
        <v>10</v>
      </c>
      <c r="B16" s="3">
        <v>19.78</v>
      </c>
      <c r="C16" s="2" t="s">
        <v>79</v>
      </c>
      <c r="D16" s="6">
        <f>'Equipment Selection'!J9</f>
        <v>3200</v>
      </c>
      <c r="E16" s="32" t="s">
        <v>80</v>
      </c>
      <c r="F16" s="6">
        <f>IF('Equipment Selection'!B9&gt;0,'Costing model generic'!$H$8*6,0)</f>
        <v>7650</v>
      </c>
      <c r="G16" s="2" t="s">
        <v>84</v>
      </c>
      <c r="H16" s="33">
        <f t="shared" si="1"/>
        <v>2.0684967320261437E-2</v>
      </c>
      <c r="I16" s="19" t="s">
        <v>82</v>
      </c>
      <c r="J16" s="2" t="str">
        <f t="shared" si="2"/>
        <v>daily production volume too much, adjust production</v>
      </c>
    </row>
    <row r="17" spans="1:12" ht="16" customHeight="1" x14ac:dyDescent="0.2">
      <c r="A17" s="2" t="s">
        <v>12</v>
      </c>
      <c r="B17" s="3">
        <v>152.86000000000001</v>
      </c>
      <c r="C17" s="2" t="s">
        <v>79</v>
      </c>
      <c r="D17" s="6">
        <f>'Equipment Selection'!J10</f>
        <v>0</v>
      </c>
      <c r="E17" s="32" t="s">
        <v>80</v>
      </c>
      <c r="F17" s="6">
        <f>IF('Equipment Selection'!B10&gt;0,'Costing model generic'!$H$8*6,0)</f>
        <v>0</v>
      </c>
      <c r="G17" s="2" t="s">
        <v>85</v>
      </c>
      <c r="H17" s="33">
        <f t="shared" si="1"/>
        <v>0</v>
      </c>
      <c r="I17" s="19" t="s">
        <v>82</v>
      </c>
      <c r="J17" s="2" t="str">
        <f t="shared" si="2"/>
        <v>daily production volume ok</v>
      </c>
    </row>
    <row r="18" spans="1:12" ht="16" customHeight="1" x14ac:dyDescent="0.2">
      <c r="A18" s="2" t="s">
        <v>13</v>
      </c>
      <c r="B18" s="3">
        <v>780</v>
      </c>
      <c r="C18" s="2" t="s">
        <v>79</v>
      </c>
      <c r="D18" s="6">
        <f>'Equipment Selection'!J11</f>
        <v>0</v>
      </c>
      <c r="E18" s="32" t="s">
        <v>80</v>
      </c>
      <c r="F18" s="6">
        <f>IF('Equipment Selection'!B11&gt;0,'Costing model generic'!$H$8*6,0)</f>
        <v>0</v>
      </c>
      <c r="G18" s="2" t="s">
        <v>85</v>
      </c>
      <c r="H18" s="33">
        <f t="shared" si="1"/>
        <v>0</v>
      </c>
      <c r="I18" s="19" t="s">
        <v>82</v>
      </c>
      <c r="J18" s="2" t="str">
        <f t="shared" si="2"/>
        <v>daily production volume ok</v>
      </c>
    </row>
    <row r="19" spans="1:12" ht="16" customHeight="1" x14ac:dyDescent="0.2">
      <c r="A19" s="2" t="s">
        <v>184</v>
      </c>
      <c r="B19" s="3">
        <v>82.61</v>
      </c>
      <c r="C19" s="2" t="s">
        <v>79</v>
      </c>
      <c r="D19" s="6">
        <f>'Equipment Selection'!J12</f>
        <v>0</v>
      </c>
      <c r="E19" s="32" t="s">
        <v>80</v>
      </c>
      <c r="F19" s="6">
        <f>IF('Equipment Selection'!B12&gt;0,$B$4*$D$4+$B$5*$D$5+$B$6*$D$6,0)</f>
        <v>0</v>
      </c>
      <c r="G19" s="2" t="s">
        <v>85</v>
      </c>
      <c r="H19" s="33">
        <f t="shared" si="1"/>
        <v>0</v>
      </c>
      <c r="I19" s="19" t="s">
        <v>82</v>
      </c>
      <c r="J19" s="2" t="str">
        <f t="shared" si="2"/>
        <v>daily production volume ok</v>
      </c>
    </row>
    <row r="20" spans="1:12" ht="16" customHeight="1" x14ac:dyDescent="0.2">
      <c r="A20" s="2" t="s">
        <v>14</v>
      </c>
      <c r="B20" s="3">
        <v>2.85</v>
      </c>
      <c r="C20" s="2" t="s">
        <v>79</v>
      </c>
      <c r="D20" s="6">
        <f>'Equipment Selection'!J13</f>
        <v>0</v>
      </c>
      <c r="E20" s="32" t="s">
        <v>80</v>
      </c>
      <c r="F20" s="6">
        <f>IF('Equipment Selection'!B13&gt;0,$B$4*$D$4+$B$5*$D$5+$B$6*$D$6,0)</f>
        <v>0</v>
      </c>
      <c r="G20" s="2" t="s">
        <v>86</v>
      </c>
      <c r="H20" s="33">
        <f t="shared" si="1"/>
        <v>0</v>
      </c>
      <c r="I20" s="19" t="s">
        <v>82</v>
      </c>
      <c r="J20" s="2" t="str">
        <f t="shared" si="2"/>
        <v>daily production volume ok</v>
      </c>
    </row>
    <row r="21" spans="1:12" ht="16" customHeight="1" x14ac:dyDescent="0.2">
      <c r="A21" s="2" t="s">
        <v>15</v>
      </c>
      <c r="B21" s="3">
        <v>20.04</v>
      </c>
      <c r="C21" s="2" t="s">
        <v>79</v>
      </c>
      <c r="D21" s="6">
        <f>'Equipment Selection'!J14</f>
        <v>0</v>
      </c>
      <c r="E21" s="32" t="s">
        <v>80</v>
      </c>
      <c r="F21" s="6">
        <f>IF('Equipment Selection'!B14&gt;0,$B$4*$D$4+$B$5*$D$5+$B$6*$D$6,0)</f>
        <v>0</v>
      </c>
      <c r="G21" s="2" t="s">
        <v>86</v>
      </c>
      <c r="H21" s="33">
        <f t="shared" si="1"/>
        <v>0</v>
      </c>
      <c r="I21" s="19" t="s">
        <v>82</v>
      </c>
      <c r="J21" s="2" t="str">
        <f t="shared" si="2"/>
        <v>daily production volume ok</v>
      </c>
    </row>
    <row r="22" spans="1:12" ht="16" customHeight="1" x14ac:dyDescent="0.2">
      <c r="A22" s="2" t="s">
        <v>16</v>
      </c>
      <c r="B22" s="3">
        <v>38.520000000000003</v>
      </c>
      <c r="C22" s="2" t="s">
        <v>79</v>
      </c>
      <c r="D22" s="6">
        <f>'Equipment Selection'!J15</f>
        <v>0</v>
      </c>
      <c r="E22" s="32" t="s">
        <v>80</v>
      </c>
      <c r="F22" s="6">
        <f>IF('Equipment Selection'!B15&gt;0,$B$4*$D$4+$B$5*$D$5+$B$6*$D$6,0)</f>
        <v>0</v>
      </c>
      <c r="G22" s="2" t="s">
        <v>87</v>
      </c>
      <c r="H22" s="33">
        <f t="shared" si="1"/>
        <v>0</v>
      </c>
      <c r="I22" s="19" t="s">
        <v>82</v>
      </c>
      <c r="J22" s="2" t="str">
        <f t="shared" si="2"/>
        <v>daily production volume ok</v>
      </c>
    </row>
    <row r="23" spans="1:12" ht="16" customHeight="1" x14ac:dyDescent="0.2">
      <c r="B23" s="4"/>
      <c r="D23" s="76"/>
      <c r="E23" s="32"/>
      <c r="F23" s="76"/>
      <c r="H23" s="40"/>
    </row>
    <row r="24" spans="1:12" ht="16" customHeight="1" x14ac:dyDescent="0.2">
      <c r="B24" s="4"/>
      <c r="D24" s="76"/>
      <c r="E24" s="32"/>
      <c r="F24" s="76"/>
      <c r="G24" s="2" t="s">
        <v>105</v>
      </c>
      <c r="H24" s="39">
        <f>SUM(H12:H22)</f>
        <v>2.1677956030897207</v>
      </c>
      <c r="I24" s="41" t="s">
        <v>82</v>
      </c>
    </row>
    <row r="25" spans="1:12" ht="16" customHeight="1" x14ac:dyDescent="0.2">
      <c r="H25" s="34"/>
    </row>
    <row r="26" spans="1:12" x14ac:dyDescent="0.2">
      <c r="A26" s="59" t="s">
        <v>88</v>
      </c>
      <c r="B26" s="59"/>
      <c r="C26" s="59"/>
      <c r="D26" s="1"/>
      <c r="E26" s="1"/>
      <c r="F26" s="1"/>
      <c r="G26" s="1"/>
      <c r="H26" s="1"/>
      <c r="J26" s="28" t="s">
        <v>77</v>
      </c>
    </row>
    <row r="27" spans="1:12" x14ac:dyDescent="0.2">
      <c r="A27" s="64" t="s">
        <v>89</v>
      </c>
      <c r="B27" s="64"/>
      <c r="C27" s="64"/>
      <c r="D27" s="64"/>
      <c r="E27" s="29"/>
      <c r="F27" s="64" t="s">
        <v>90</v>
      </c>
      <c r="G27" s="64"/>
      <c r="H27" s="64"/>
      <c r="I27" s="64"/>
    </row>
    <row r="28" spans="1:12" ht="16" customHeight="1" x14ac:dyDescent="0.2">
      <c r="A28" s="34" t="s">
        <v>91</v>
      </c>
      <c r="B28" s="23">
        <v>2</v>
      </c>
      <c r="C28" s="2" t="s">
        <v>92</v>
      </c>
      <c r="D28" s="21">
        <f>1892/22*B28</f>
        <v>172</v>
      </c>
      <c r="E28" s="2" t="s">
        <v>93</v>
      </c>
      <c r="F28" s="23">
        <v>3528</v>
      </c>
      <c r="G28" s="2" t="s">
        <v>94</v>
      </c>
      <c r="H28" s="35">
        <f>B28*D28/F28</f>
        <v>9.7505668934240369E-2</v>
      </c>
      <c r="I28" s="19" t="s">
        <v>82</v>
      </c>
    </row>
    <row r="29" spans="1:12" ht="16" customHeight="1" x14ac:dyDescent="0.2">
      <c r="A29" s="36" t="s">
        <v>95</v>
      </c>
      <c r="B29" s="23">
        <v>10.71</v>
      </c>
      <c r="C29" s="2" t="s">
        <v>96</v>
      </c>
      <c r="D29" s="21">
        <f>B29*8*2</f>
        <v>171.36</v>
      </c>
      <c r="E29" s="2" t="s">
        <v>93</v>
      </c>
      <c r="F29" s="23"/>
      <c r="G29" s="2" t="s">
        <v>97</v>
      </c>
      <c r="H29" s="35"/>
      <c r="I29" s="19" t="s">
        <v>82</v>
      </c>
    </row>
    <row r="30" spans="1:12" ht="16" customHeight="1" x14ac:dyDescent="0.2">
      <c r="A30" s="36" t="s">
        <v>98</v>
      </c>
      <c r="B30" s="21">
        <v>10.82</v>
      </c>
      <c r="C30" s="2" t="s">
        <v>96</v>
      </c>
      <c r="D30" s="23">
        <f>B30*8</f>
        <v>86.56</v>
      </c>
      <c r="E30" s="2" t="s">
        <v>99</v>
      </c>
      <c r="F30" s="23"/>
      <c r="G30" s="2" t="s">
        <v>97</v>
      </c>
      <c r="H30" s="35"/>
      <c r="I30" s="19" t="s">
        <v>82</v>
      </c>
    </row>
    <row r="31" spans="1:12" ht="16" customHeight="1" x14ac:dyDescent="0.2">
      <c r="A31" s="36" t="s">
        <v>100</v>
      </c>
      <c r="B31" s="21">
        <f>B17</f>
        <v>152.86000000000001</v>
      </c>
      <c r="D31" s="3">
        <f>B31*8</f>
        <v>1222.8800000000001</v>
      </c>
      <c r="E31" s="2" t="s">
        <v>101</v>
      </c>
      <c r="F31" s="23">
        <v>3528</v>
      </c>
      <c r="G31" s="2" t="s">
        <v>97</v>
      </c>
      <c r="H31" s="35">
        <f>D31/F31</f>
        <v>0.34662131519274381</v>
      </c>
      <c r="I31" s="19" t="s">
        <v>82</v>
      </c>
      <c r="L31" s="37"/>
    </row>
    <row r="32" spans="1:12" ht="16" customHeight="1" x14ac:dyDescent="0.2">
      <c r="A32" s="36" t="s">
        <v>102</v>
      </c>
      <c r="B32" s="23">
        <v>2</v>
      </c>
      <c r="C32" s="2" t="s">
        <v>92</v>
      </c>
      <c r="D32" s="21">
        <f>B32*1892/22</f>
        <v>172</v>
      </c>
      <c r="E32" s="2" t="s">
        <v>93</v>
      </c>
      <c r="F32" s="23">
        <v>2100</v>
      </c>
      <c r="G32" s="2" t="s">
        <v>94</v>
      </c>
      <c r="H32" s="35">
        <f>B32*D32/F32</f>
        <v>0.16380952380952382</v>
      </c>
      <c r="I32" s="19" t="s">
        <v>82</v>
      </c>
    </row>
    <row r="33" spans="1:10" ht="16" customHeight="1" x14ac:dyDescent="0.2">
      <c r="A33" s="38" t="s">
        <v>103</v>
      </c>
      <c r="B33" s="23">
        <v>10.71</v>
      </c>
      <c r="C33" s="2" t="s">
        <v>96</v>
      </c>
      <c r="D33" s="23">
        <v>14.54</v>
      </c>
      <c r="E33" s="2" t="s">
        <v>104</v>
      </c>
      <c r="F33" s="23">
        <v>2100</v>
      </c>
      <c r="G33" s="2" t="s">
        <v>97</v>
      </c>
      <c r="H33" s="35">
        <f>B33*D33/F33</f>
        <v>7.4153999999999998E-2</v>
      </c>
      <c r="I33" s="19" t="s">
        <v>82</v>
      </c>
    </row>
    <row r="35" spans="1:10" ht="16" customHeight="1" x14ac:dyDescent="0.2">
      <c r="A35" s="36"/>
      <c r="G35" s="2" t="s">
        <v>105</v>
      </c>
      <c r="H35" s="39">
        <f>SUM(H28:H33)</f>
        <v>0.68209050793650805</v>
      </c>
      <c r="I35" s="19" t="s">
        <v>82</v>
      </c>
    </row>
    <row r="36" spans="1:10" ht="16" customHeight="1" x14ac:dyDescent="0.2">
      <c r="A36" s="72" t="s">
        <v>106</v>
      </c>
      <c r="B36" s="72"/>
      <c r="C36" s="72"/>
      <c r="H36" s="40"/>
    </row>
    <row r="37" spans="1:10" ht="16" customHeight="1" x14ac:dyDescent="0.2">
      <c r="A37" s="36" t="s">
        <v>107</v>
      </c>
      <c r="B37" s="21">
        <f>IF(F4&gt;0,F4,IF(F5&gt;0,F5,IF(F6&gt;0,F6,"Error, please choose 1 diet and one diet from Cells F4, F5 or F6 only")))</f>
        <v>85</v>
      </c>
      <c r="C37" s="2" t="s">
        <v>108</v>
      </c>
      <c r="D37" s="21">
        <f>H35</f>
        <v>0.68209050793650805</v>
      </c>
      <c r="E37" s="2" t="s">
        <v>109</v>
      </c>
      <c r="H37" s="26">
        <f>B37*(D37+H24)</f>
        <v>242.24031943722946</v>
      </c>
      <c r="I37" s="41" t="s">
        <v>110</v>
      </c>
      <c r="J37" s="58">
        <f>IFERROR(B37,"Please choose one value for cells F5, F6 or F7 and one diet only")</f>
        <v>85</v>
      </c>
    </row>
    <row r="38" spans="1:10" ht="17" customHeight="1" x14ac:dyDescent="0.2">
      <c r="A38" s="42"/>
    </row>
    <row r="39" spans="1:10" x14ac:dyDescent="0.2">
      <c r="A39" s="72" t="s">
        <v>111</v>
      </c>
      <c r="B39" s="72"/>
      <c r="C39" s="72"/>
      <c r="D39" s="1"/>
      <c r="E39" s="1"/>
      <c r="F39" s="1"/>
      <c r="G39" s="1"/>
      <c r="H39" s="1"/>
      <c r="J39" s="28" t="s">
        <v>77</v>
      </c>
    </row>
    <row r="40" spans="1:10" s="29" customFormat="1" x14ac:dyDescent="0.2">
      <c r="A40" s="43"/>
      <c r="B40" s="43"/>
      <c r="C40" s="43"/>
      <c r="F40" s="64" t="s">
        <v>112</v>
      </c>
      <c r="G40" s="64"/>
      <c r="H40" s="64"/>
      <c r="I40" s="64"/>
    </row>
    <row r="41" spans="1:10" ht="16" customHeight="1" x14ac:dyDescent="0.2">
      <c r="A41" s="42" t="s">
        <v>57</v>
      </c>
      <c r="B41" s="21">
        <f>'Suppl &amp; Additives'!G23</f>
        <v>192</v>
      </c>
      <c r="C41" s="2" t="s">
        <v>113</v>
      </c>
      <c r="D41" s="23">
        <f>'Suppl &amp; Additives'!D23</f>
        <v>40</v>
      </c>
      <c r="E41" s="2" t="s">
        <v>114</v>
      </c>
      <c r="F41" s="23"/>
      <c r="G41" s="2" t="s">
        <v>115</v>
      </c>
      <c r="H41" s="21">
        <f t="shared" ref="H41:H50" si="3">B41/D41*F41</f>
        <v>0</v>
      </c>
      <c r="I41" s="44" t="s">
        <v>110</v>
      </c>
    </row>
    <row r="42" spans="1:10" ht="16" customHeight="1" x14ac:dyDescent="0.2">
      <c r="A42" s="42" t="s">
        <v>56</v>
      </c>
      <c r="B42" s="21">
        <f>'Suppl &amp; Additives'!G22</f>
        <v>252</v>
      </c>
      <c r="C42" s="2" t="s">
        <v>113</v>
      </c>
      <c r="D42" s="23">
        <f>'Suppl &amp; Additives'!D22</f>
        <v>40</v>
      </c>
      <c r="E42" s="2" t="s">
        <v>114</v>
      </c>
      <c r="F42" s="23"/>
      <c r="G42" s="2" t="s">
        <v>115</v>
      </c>
      <c r="H42" s="21"/>
      <c r="I42" s="44" t="s">
        <v>110</v>
      </c>
    </row>
    <row r="43" spans="1:10" ht="16" customHeight="1" x14ac:dyDescent="0.2">
      <c r="A43" s="42" t="s">
        <v>33</v>
      </c>
      <c r="B43" s="21">
        <f>'Suppl &amp; Additives'!G8</f>
        <v>206.16</v>
      </c>
      <c r="C43" s="2" t="s">
        <v>113</v>
      </c>
      <c r="D43" s="23">
        <f>'Suppl &amp; Additives'!D8</f>
        <v>50</v>
      </c>
      <c r="E43" s="2" t="s">
        <v>114</v>
      </c>
      <c r="F43" s="23"/>
      <c r="G43" s="2" t="s">
        <v>115</v>
      </c>
      <c r="H43" s="21">
        <f t="shared" si="3"/>
        <v>0</v>
      </c>
      <c r="I43" s="44" t="s">
        <v>110</v>
      </c>
    </row>
    <row r="44" spans="1:10" ht="16" customHeight="1" x14ac:dyDescent="0.2">
      <c r="A44" s="42" t="s">
        <v>116</v>
      </c>
      <c r="B44" s="21">
        <f>'Suppl &amp; Additives'!H16</f>
        <v>2.5</v>
      </c>
      <c r="C44" s="2" t="s">
        <v>24</v>
      </c>
      <c r="D44" s="24"/>
      <c r="F44" s="23"/>
      <c r="G44" s="2" t="s">
        <v>115</v>
      </c>
      <c r="H44" s="21"/>
      <c r="I44" s="44" t="s">
        <v>110</v>
      </c>
    </row>
    <row r="45" spans="1:10" ht="16" customHeight="1" x14ac:dyDescent="0.2">
      <c r="A45" s="42" t="s">
        <v>117</v>
      </c>
      <c r="B45" s="21">
        <f>'Suppl &amp; Additives'!G7</f>
        <v>222.33</v>
      </c>
      <c r="C45" s="2" t="s">
        <v>113</v>
      </c>
      <c r="D45" s="23">
        <f>'Suppl &amp; Additives'!D7</f>
        <v>50</v>
      </c>
      <c r="E45" s="2" t="s">
        <v>114</v>
      </c>
      <c r="F45" s="23"/>
      <c r="G45" s="2" t="s">
        <v>115</v>
      </c>
      <c r="H45" s="21">
        <f t="shared" si="3"/>
        <v>0</v>
      </c>
      <c r="I45" s="44" t="s">
        <v>110</v>
      </c>
    </row>
    <row r="46" spans="1:10" ht="16" customHeight="1" x14ac:dyDescent="0.2">
      <c r="A46" s="42" t="s">
        <v>58</v>
      </c>
      <c r="B46" s="21">
        <f>'Suppl &amp; Additives'!G24</f>
        <v>195</v>
      </c>
      <c r="C46" s="2" t="s">
        <v>113</v>
      </c>
      <c r="D46" s="23">
        <f>'Suppl &amp; Additives'!D24</f>
        <v>50</v>
      </c>
      <c r="E46" s="2" t="s">
        <v>114</v>
      </c>
      <c r="F46" s="23">
        <v>2</v>
      </c>
      <c r="G46" s="2" t="s">
        <v>115</v>
      </c>
      <c r="H46" s="21">
        <f t="shared" si="3"/>
        <v>7.8</v>
      </c>
      <c r="I46" s="44" t="s">
        <v>110</v>
      </c>
    </row>
    <row r="47" spans="1:10" ht="16" customHeight="1" x14ac:dyDescent="0.2">
      <c r="A47" s="42" t="s">
        <v>118</v>
      </c>
      <c r="B47" s="21">
        <f>'Suppl &amp; Additives'!G10</f>
        <v>152.88</v>
      </c>
      <c r="C47" s="2" t="s">
        <v>119</v>
      </c>
      <c r="D47" s="23">
        <f>'Suppl &amp; Additives'!D10</f>
        <v>25</v>
      </c>
      <c r="E47" s="2" t="s">
        <v>120</v>
      </c>
      <c r="F47" s="23">
        <v>13</v>
      </c>
      <c r="G47" s="2" t="s">
        <v>115</v>
      </c>
      <c r="H47" s="21">
        <f t="shared" si="3"/>
        <v>79.497599999999991</v>
      </c>
      <c r="I47" s="44" t="s">
        <v>110</v>
      </c>
    </row>
    <row r="48" spans="1:10" ht="16" customHeight="1" x14ac:dyDescent="0.2">
      <c r="A48" s="42" t="s">
        <v>121</v>
      </c>
      <c r="B48" s="21">
        <v>163</v>
      </c>
      <c r="C48" s="2" t="s">
        <v>119</v>
      </c>
      <c r="D48" s="23">
        <f>'Suppl &amp; Additives'!D11</f>
        <v>25</v>
      </c>
      <c r="E48" s="2" t="s">
        <v>120</v>
      </c>
      <c r="F48" s="23"/>
      <c r="H48" s="21"/>
      <c r="I48" s="44" t="s">
        <v>110</v>
      </c>
    </row>
    <row r="49" spans="1:10" ht="16" customHeight="1" x14ac:dyDescent="0.2">
      <c r="A49" s="42" t="s">
        <v>122</v>
      </c>
      <c r="B49" s="21">
        <f>'Suppl &amp; Additives'!H17</f>
        <v>1.3</v>
      </c>
      <c r="C49" s="2" t="s">
        <v>24</v>
      </c>
      <c r="D49" s="24"/>
      <c r="F49" s="23"/>
      <c r="G49" s="2" t="s">
        <v>115</v>
      </c>
      <c r="H49" s="21"/>
      <c r="I49" s="44" t="s">
        <v>110</v>
      </c>
    </row>
    <row r="50" spans="1:10" ht="16" customHeight="1" x14ac:dyDescent="0.2">
      <c r="A50" s="42" t="s">
        <v>123</v>
      </c>
      <c r="B50" s="21">
        <f>'Suppl &amp; Additives'!G9</f>
        <v>1480.37</v>
      </c>
      <c r="C50" s="2" t="s">
        <v>119</v>
      </c>
      <c r="D50" s="23">
        <f>'Suppl &amp; Additives'!D9</f>
        <v>10</v>
      </c>
      <c r="E50" s="2" t="s">
        <v>124</v>
      </c>
      <c r="F50" s="23"/>
      <c r="G50" s="2" t="s">
        <v>115</v>
      </c>
      <c r="H50" s="21">
        <f t="shared" si="3"/>
        <v>0</v>
      </c>
      <c r="I50" s="44" t="s">
        <v>110</v>
      </c>
    </row>
    <row r="51" spans="1:10" ht="16" customHeight="1" x14ac:dyDescent="0.2">
      <c r="A51" s="42" t="s">
        <v>27</v>
      </c>
      <c r="B51" s="21">
        <f>'Suppl &amp; Additives'!G6</f>
        <v>14.91</v>
      </c>
      <c r="C51" s="2" t="s">
        <v>113</v>
      </c>
      <c r="D51" s="24"/>
      <c r="F51" s="23"/>
      <c r="H51" s="21"/>
      <c r="I51" s="44" t="s">
        <v>110</v>
      </c>
    </row>
    <row r="52" spans="1:10" ht="16" customHeight="1" x14ac:dyDescent="0.2">
      <c r="A52" s="42" t="s">
        <v>47</v>
      </c>
      <c r="B52" s="21">
        <f>'Suppl &amp; Additives'!G18</f>
        <v>80.5</v>
      </c>
      <c r="C52" s="2" t="s">
        <v>125</v>
      </c>
      <c r="D52" s="23">
        <f>'Suppl &amp; Additives'!D18</f>
        <v>18</v>
      </c>
      <c r="E52" s="2" t="s">
        <v>126</v>
      </c>
      <c r="F52" s="23">
        <v>0</v>
      </c>
      <c r="G52" s="2" t="s">
        <v>115</v>
      </c>
      <c r="H52" s="21">
        <f>B52/D52*F52</f>
        <v>0</v>
      </c>
      <c r="I52" s="44" t="s">
        <v>110</v>
      </c>
    </row>
    <row r="53" spans="1:10" ht="16" customHeight="1" x14ac:dyDescent="0.2">
      <c r="A53" s="42" t="s">
        <v>50</v>
      </c>
      <c r="B53" s="21">
        <f>'Suppl &amp; Additives'!G19</f>
        <v>95.65</v>
      </c>
      <c r="C53" s="2" t="s">
        <v>125</v>
      </c>
      <c r="D53" s="23">
        <f>'Suppl &amp; Additives'!D19</f>
        <v>18</v>
      </c>
      <c r="E53" s="2" t="s">
        <v>126</v>
      </c>
      <c r="F53" s="23">
        <v>0</v>
      </c>
      <c r="G53" s="2" t="s">
        <v>115</v>
      </c>
      <c r="H53" s="21">
        <f t="shared" ref="H53:H56" si="4">B53/D53*F53</f>
        <v>0</v>
      </c>
      <c r="I53" s="44" t="s">
        <v>110</v>
      </c>
    </row>
    <row r="54" spans="1:10" ht="16" customHeight="1" x14ac:dyDescent="0.2">
      <c r="A54" s="42" t="s">
        <v>127</v>
      </c>
      <c r="B54" s="21">
        <f>'Suppl &amp; Additives'!G20</f>
        <v>277.23</v>
      </c>
      <c r="C54" s="2" t="s">
        <v>113</v>
      </c>
      <c r="D54" s="23">
        <f>'Suppl &amp; Additives'!D20</f>
        <v>50</v>
      </c>
      <c r="E54" s="2" t="s">
        <v>114</v>
      </c>
      <c r="F54" s="23"/>
      <c r="G54" s="2" t="s">
        <v>115</v>
      </c>
      <c r="H54" s="21">
        <f t="shared" si="4"/>
        <v>0</v>
      </c>
      <c r="I54" s="44" t="s">
        <v>110</v>
      </c>
    </row>
    <row r="55" spans="1:10" ht="16" customHeight="1" x14ac:dyDescent="0.2">
      <c r="A55" s="42" t="s">
        <v>128</v>
      </c>
      <c r="B55" s="21">
        <f>'Suppl &amp; Additives'!G21</f>
        <v>310</v>
      </c>
      <c r="C55" s="2" t="s">
        <v>113</v>
      </c>
      <c r="D55" s="23">
        <f>'Suppl &amp; Additives'!D21</f>
        <v>50</v>
      </c>
      <c r="E55" s="2" t="s">
        <v>114</v>
      </c>
      <c r="F55" s="23"/>
      <c r="G55" s="2" t="s">
        <v>115</v>
      </c>
      <c r="H55" s="21">
        <f t="shared" si="4"/>
        <v>0</v>
      </c>
      <c r="I55" s="44" t="s">
        <v>110</v>
      </c>
    </row>
    <row r="56" spans="1:10" ht="16" customHeight="1" x14ac:dyDescent="0.2">
      <c r="A56" s="42" t="s">
        <v>129</v>
      </c>
      <c r="B56" s="23">
        <v>32</v>
      </c>
      <c r="C56" s="2" t="s">
        <v>130</v>
      </c>
      <c r="D56" s="45">
        <v>8000</v>
      </c>
      <c r="E56" s="2" t="s">
        <v>131</v>
      </c>
      <c r="F56" s="23"/>
      <c r="G56" s="2" t="s">
        <v>132</v>
      </c>
      <c r="H56" s="21">
        <f t="shared" si="4"/>
        <v>0</v>
      </c>
      <c r="I56" s="44" t="s">
        <v>110</v>
      </c>
    </row>
    <row r="57" spans="1:10" ht="16" customHeight="1" x14ac:dyDescent="0.2">
      <c r="G57" s="2" t="s">
        <v>105</v>
      </c>
      <c r="H57" s="46">
        <f>SUM(H41:H56)</f>
        <v>87.297599999999989</v>
      </c>
      <c r="I57" s="44" t="s">
        <v>110</v>
      </c>
    </row>
    <row r="58" spans="1:10" ht="16" customHeight="1" x14ac:dyDescent="0.2">
      <c r="A58" s="72" t="s">
        <v>133</v>
      </c>
      <c r="B58" s="72"/>
      <c r="C58" s="72"/>
      <c r="H58" s="47"/>
      <c r="I58" s="44"/>
    </row>
    <row r="59" spans="1:10" ht="16" customHeight="1" x14ac:dyDescent="0.2">
      <c r="A59" s="38" t="s">
        <v>134</v>
      </c>
      <c r="B59" s="23">
        <f>SUM(F41:F56)</f>
        <v>15</v>
      </c>
      <c r="C59" s="2" t="s">
        <v>108</v>
      </c>
      <c r="D59" s="21">
        <f>$H$57/100</f>
        <v>0.87297599999999986</v>
      </c>
      <c r="E59" s="2" t="s">
        <v>109</v>
      </c>
      <c r="H59" s="26">
        <f>B59*D59</f>
        <v>13.094639999999998</v>
      </c>
      <c r="I59" s="41" t="s">
        <v>110</v>
      </c>
      <c r="J59" s="58" t="str">
        <f>IF(B37+B59=100,"Feed mix sum, OK","Please check your feed mixture, it does not add to 100%")</f>
        <v>Feed mix sum, OK</v>
      </c>
    </row>
    <row r="60" spans="1:10" ht="16" customHeight="1" x14ac:dyDescent="0.2">
      <c r="A60" s="42"/>
      <c r="H60" s="47"/>
    </row>
    <row r="61" spans="1:10" x14ac:dyDescent="0.2">
      <c r="A61" s="59" t="s">
        <v>135</v>
      </c>
      <c r="B61" s="59"/>
      <c r="C61" s="59"/>
      <c r="D61" s="1"/>
      <c r="E61" s="1"/>
      <c r="F61" s="1"/>
      <c r="G61" s="1"/>
      <c r="H61" s="1"/>
    </row>
    <row r="62" spans="1:10" s="29" customFormat="1" x14ac:dyDescent="0.2">
      <c r="A62" s="64" t="s">
        <v>136</v>
      </c>
      <c r="B62" s="64"/>
      <c r="C62" s="64"/>
      <c r="D62" s="64"/>
      <c r="F62" s="64" t="s">
        <v>137</v>
      </c>
      <c r="G62" s="64"/>
      <c r="H62" s="64"/>
      <c r="I62" s="64"/>
    </row>
    <row r="63" spans="1:10" x14ac:dyDescent="0.2">
      <c r="A63" s="38" t="s">
        <v>138</v>
      </c>
      <c r="B63" s="21">
        <f>B29</f>
        <v>10.71</v>
      </c>
      <c r="C63" s="2" t="s">
        <v>139</v>
      </c>
      <c r="D63" s="21">
        <f>8*2.5</f>
        <v>20</v>
      </c>
      <c r="E63" s="2" t="s">
        <v>140</v>
      </c>
      <c r="F63" s="48">
        <v>2100</v>
      </c>
      <c r="G63" s="2" t="s">
        <v>141</v>
      </c>
      <c r="H63" s="33">
        <f>B63*D63/F63</f>
        <v>0.10200000000000001</v>
      </c>
      <c r="I63" s="44" t="s">
        <v>142</v>
      </c>
    </row>
    <row r="64" spans="1:10" ht="16" customHeight="1" x14ac:dyDescent="0.2">
      <c r="A64" s="38" t="s">
        <v>143</v>
      </c>
      <c r="B64" s="21">
        <v>5</v>
      </c>
      <c r="C64" s="2" t="s">
        <v>144</v>
      </c>
      <c r="D64" s="21">
        <v>12.6</v>
      </c>
      <c r="E64" s="2" t="s">
        <v>145</v>
      </c>
      <c r="F64" s="48">
        <f>B64*D64</f>
        <v>63</v>
      </c>
      <c r="G64" s="2" t="s">
        <v>146</v>
      </c>
      <c r="H64" s="33">
        <f>$F64/$F$63</f>
        <v>0.03</v>
      </c>
      <c r="I64" s="44" t="s">
        <v>142</v>
      </c>
    </row>
    <row r="65" spans="1:9" ht="16" customHeight="1" x14ac:dyDescent="0.2">
      <c r="A65" s="38" t="s">
        <v>147</v>
      </c>
      <c r="B65" s="21">
        <v>2</v>
      </c>
      <c r="C65" s="2" t="s">
        <v>148</v>
      </c>
      <c r="D65" s="21">
        <v>5</v>
      </c>
      <c r="E65" s="2" t="s">
        <v>149</v>
      </c>
      <c r="F65" s="48">
        <f>B65*D65</f>
        <v>10</v>
      </c>
      <c r="G65" s="2" t="s">
        <v>150</v>
      </c>
      <c r="H65" s="33">
        <f t="shared" ref="H65:H67" si="5">$F65/$F$63</f>
        <v>4.7619047619047623E-3</v>
      </c>
      <c r="I65" s="44" t="s">
        <v>142</v>
      </c>
    </row>
    <row r="66" spans="1:9" ht="16" customHeight="1" x14ac:dyDescent="0.2">
      <c r="A66" s="38" t="s">
        <v>151</v>
      </c>
      <c r="B66" s="21">
        <v>2</v>
      </c>
      <c r="C66" s="2" t="s">
        <v>152</v>
      </c>
      <c r="D66" s="21">
        <v>5</v>
      </c>
      <c r="E66" s="2" t="s">
        <v>149</v>
      </c>
      <c r="F66" s="48">
        <f>B66*D66</f>
        <v>10</v>
      </c>
      <c r="G66" s="2" t="s">
        <v>150</v>
      </c>
      <c r="H66" s="33">
        <f t="shared" si="5"/>
        <v>4.7619047619047623E-3</v>
      </c>
      <c r="I66" s="44" t="s">
        <v>142</v>
      </c>
    </row>
    <row r="67" spans="1:9" ht="16" customHeight="1" x14ac:dyDescent="0.2">
      <c r="A67" s="38" t="s">
        <v>153</v>
      </c>
      <c r="B67" s="21">
        <v>5</v>
      </c>
      <c r="C67" s="2" t="s">
        <v>144</v>
      </c>
      <c r="D67" s="21">
        <v>12.6</v>
      </c>
      <c r="E67" s="2" t="s">
        <v>145</v>
      </c>
      <c r="F67" s="48">
        <f>B67*D67</f>
        <v>63</v>
      </c>
      <c r="G67" s="2" t="s">
        <v>146</v>
      </c>
      <c r="H67" s="33">
        <f t="shared" si="5"/>
        <v>0.03</v>
      </c>
      <c r="I67" s="44" t="s">
        <v>142</v>
      </c>
    </row>
    <row r="68" spans="1:9" ht="16" customHeight="1" x14ac:dyDescent="0.2">
      <c r="A68" s="38" t="s">
        <v>154</v>
      </c>
      <c r="B68" s="23">
        <v>1</v>
      </c>
      <c r="C68" s="2" t="s">
        <v>92</v>
      </c>
      <c r="D68" s="21">
        <f>1892/22</f>
        <v>86</v>
      </c>
      <c r="E68" s="2" t="s">
        <v>93</v>
      </c>
      <c r="F68" s="48">
        <f>B68*D68</f>
        <v>86</v>
      </c>
      <c r="G68" s="2" t="s">
        <v>150</v>
      </c>
      <c r="H68" s="33">
        <f t="shared" ref="H68" si="6">B68*D68/F68</f>
        <v>1</v>
      </c>
      <c r="I68" s="44" t="s">
        <v>142</v>
      </c>
    </row>
    <row r="69" spans="1:9" ht="16" customHeight="1" x14ac:dyDescent="0.2">
      <c r="A69" s="38"/>
      <c r="G69" s="2" t="s">
        <v>155</v>
      </c>
      <c r="H69" s="46">
        <f>SUM(H63:H68)</f>
        <v>1.1715238095238096</v>
      </c>
      <c r="I69" s="44" t="s">
        <v>142</v>
      </c>
    </row>
    <row r="70" spans="1:9" ht="16" customHeight="1" x14ac:dyDescent="0.2">
      <c r="A70" s="38"/>
      <c r="H70" s="47"/>
      <c r="I70" s="44"/>
    </row>
    <row r="71" spans="1:9" ht="16" customHeight="1" x14ac:dyDescent="0.2">
      <c r="A71" s="38" t="s">
        <v>156</v>
      </c>
      <c r="B71" s="21">
        <v>100</v>
      </c>
      <c r="C71" s="2" t="s">
        <v>108</v>
      </c>
      <c r="D71" s="21">
        <f>H69</f>
        <v>1.1715238095238096</v>
      </c>
      <c r="E71" s="2" t="s">
        <v>109</v>
      </c>
      <c r="F71" s="24"/>
      <c r="G71" s="24"/>
      <c r="H71" s="26">
        <f>B71*D71</f>
        <v>117.15238095238097</v>
      </c>
      <c r="I71" s="41" t="s">
        <v>110</v>
      </c>
    </row>
    <row r="72" spans="1:9" ht="16" customHeight="1" x14ac:dyDescent="0.2">
      <c r="A72" s="38"/>
      <c r="B72" s="49"/>
      <c r="D72" s="49"/>
      <c r="F72" s="24"/>
      <c r="G72" s="24"/>
      <c r="H72" s="50"/>
    </row>
    <row r="73" spans="1:9" ht="16" customHeight="1" x14ac:dyDescent="0.2">
      <c r="A73" s="59" t="s">
        <v>157</v>
      </c>
      <c r="B73" s="59"/>
      <c r="C73" s="59"/>
      <c r="D73" s="1"/>
      <c r="E73" s="1"/>
      <c r="F73" s="1"/>
      <c r="G73" s="1"/>
      <c r="H73" s="1"/>
    </row>
    <row r="74" spans="1:9" ht="16" customHeight="1" x14ac:dyDescent="0.2">
      <c r="A74" s="38" t="s">
        <v>158</v>
      </c>
      <c r="B74" s="23">
        <v>2</v>
      </c>
      <c r="C74" s="2" t="s">
        <v>92</v>
      </c>
      <c r="D74" s="21">
        <f>D28</f>
        <v>172</v>
      </c>
      <c r="E74" s="2" t="s">
        <v>93</v>
      </c>
      <c r="F74" s="23">
        <v>2100</v>
      </c>
      <c r="G74" s="2" t="s">
        <v>97</v>
      </c>
      <c r="H74" s="35">
        <f>D74/F74</f>
        <v>8.1904761904761911E-2</v>
      </c>
      <c r="I74" s="51" t="s">
        <v>142</v>
      </c>
    </row>
    <row r="75" spans="1:9" ht="16" customHeight="1" x14ac:dyDescent="0.2">
      <c r="A75" s="38" t="s">
        <v>159</v>
      </c>
      <c r="B75" s="23">
        <v>10.71</v>
      </c>
      <c r="C75" s="2" t="s">
        <v>96</v>
      </c>
      <c r="D75" s="21">
        <f>8*2.5</f>
        <v>20</v>
      </c>
      <c r="E75" s="2" t="s">
        <v>104</v>
      </c>
      <c r="F75" s="23">
        <v>2100</v>
      </c>
      <c r="G75" s="2" t="s">
        <v>97</v>
      </c>
      <c r="H75" s="35">
        <f>D75/F75</f>
        <v>9.5238095238095247E-3</v>
      </c>
      <c r="I75" s="51" t="s">
        <v>142</v>
      </c>
    </row>
    <row r="76" spans="1:9" ht="16" customHeight="1" x14ac:dyDescent="0.2">
      <c r="A76" s="38"/>
      <c r="B76" s="24"/>
      <c r="D76" s="24"/>
      <c r="F76" s="24"/>
      <c r="G76" s="2" t="s">
        <v>155</v>
      </c>
      <c r="H76" s="46">
        <f>SUM(H74:H75)</f>
        <v>9.1428571428571442E-2</v>
      </c>
      <c r="I76" s="52" t="s">
        <v>142</v>
      </c>
    </row>
    <row r="77" spans="1:9" ht="16" customHeight="1" x14ac:dyDescent="0.2">
      <c r="A77" s="38"/>
      <c r="B77" s="24"/>
      <c r="D77" s="24"/>
      <c r="F77" s="24"/>
      <c r="H77" s="50"/>
    </row>
    <row r="78" spans="1:9" ht="16" customHeight="1" x14ac:dyDescent="0.2">
      <c r="A78" s="38" t="s">
        <v>160</v>
      </c>
      <c r="B78" s="21">
        <v>100</v>
      </c>
      <c r="C78" s="2" t="s">
        <v>108</v>
      </c>
      <c r="D78" s="21">
        <f>H76</f>
        <v>9.1428571428571442E-2</v>
      </c>
      <c r="E78" s="2" t="s">
        <v>109</v>
      </c>
      <c r="F78" s="24"/>
      <c r="G78" s="24"/>
      <c r="H78" s="26">
        <f>B78*D78</f>
        <v>9.1428571428571441</v>
      </c>
      <c r="I78" s="41" t="s">
        <v>110</v>
      </c>
    </row>
    <row r="79" spans="1:9" ht="16" customHeight="1" x14ac:dyDescent="0.2">
      <c r="A79" s="38"/>
      <c r="B79" s="49"/>
      <c r="D79" s="49"/>
      <c r="F79" s="24"/>
      <c r="G79" s="24"/>
      <c r="H79" s="50"/>
    </row>
    <row r="80" spans="1:9" x14ac:dyDescent="0.2">
      <c r="A80" s="72" t="s">
        <v>161</v>
      </c>
      <c r="B80" s="72"/>
      <c r="C80" s="72"/>
      <c r="D80" s="1"/>
      <c r="E80" s="1"/>
      <c r="F80" s="1"/>
      <c r="G80" s="1"/>
      <c r="H80" s="1"/>
    </row>
    <row r="81" spans="1:10" ht="16" customHeight="1" x14ac:dyDescent="0.2">
      <c r="A81" s="38" t="s">
        <v>162</v>
      </c>
      <c r="B81" s="21">
        <v>7.8</v>
      </c>
      <c r="C81" s="2" t="s">
        <v>163</v>
      </c>
      <c r="D81" s="23">
        <v>2</v>
      </c>
      <c r="E81" s="2" t="s">
        <v>164</v>
      </c>
      <c r="F81" s="24"/>
      <c r="G81" s="24"/>
      <c r="H81" s="53">
        <f>B81*D81</f>
        <v>15.6</v>
      </c>
      <c r="I81" s="52" t="s">
        <v>110</v>
      </c>
    </row>
    <row r="82" spans="1:10" ht="17" customHeight="1" x14ac:dyDescent="0.2">
      <c r="A82" s="38"/>
    </row>
    <row r="83" spans="1:10" ht="16" customHeight="1" x14ac:dyDescent="0.2">
      <c r="A83" s="38"/>
      <c r="B83" s="49"/>
      <c r="D83" s="24"/>
      <c r="F83" s="24"/>
      <c r="G83" s="24"/>
      <c r="H83" s="50"/>
    </row>
    <row r="84" spans="1:10" ht="17" customHeight="1" x14ac:dyDescent="0.2">
      <c r="A84" s="73" t="s">
        <v>165</v>
      </c>
      <c r="B84" s="73"/>
      <c r="C84" s="73"/>
      <c r="D84" s="1"/>
      <c r="E84" s="1"/>
      <c r="F84" s="1"/>
      <c r="G84" s="1"/>
      <c r="H84" s="1"/>
    </row>
    <row r="85" spans="1:10" ht="36" customHeight="1" x14ac:dyDescent="0.2">
      <c r="A85" s="38" t="s">
        <v>166</v>
      </c>
      <c r="B85" s="21">
        <f>AVERAGE(B12:B22)*7%*7880/250</f>
        <v>345.93945018181824</v>
      </c>
      <c r="C85" s="2" t="s">
        <v>167</v>
      </c>
      <c r="D85" s="54">
        <f>AVERAGE(D12:D22)</f>
        <v>810.90909090909088</v>
      </c>
      <c r="E85" s="74" t="s">
        <v>168</v>
      </c>
      <c r="F85" s="75"/>
      <c r="H85" s="26">
        <f>B85/D85*100</f>
        <v>42.660694529147989</v>
      </c>
      <c r="I85" s="52" t="s">
        <v>110</v>
      </c>
    </row>
    <row r="86" spans="1:10" ht="16" customHeight="1" x14ac:dyDescent="0.2">
      <c r="A86" s="38"/>
      <c r="B86" s="49"/>
      <c r="D86" s="24"/>
    </row>
    <row r="87" spans="1:10" ht="16" customHeight="1" x14ac:dyDescent="0.2">
      <c r="A87" s="73" t="s">
        <v>169</v>
      </c>
      <c r="B87" s="73"/>
      <c r="C87" s="73"/>
      <c r="D87" s="1"/>
      <c r="E87" s="1"/>
      <c r="F87" s="1"/>
      <c r="G87" s="1"/>
      <c r="H87" s="1"/>
    </row>
    <row r="88" spans="1:10" ht="16" customHeight="1" x14ac:dyDescent="0.2">
      <c r="A88" s="38" t="s">
        <v>170</v>
      </c>
      <c r="B88" s="24"/>
      <c r="D88" s="49"/>
      <c r="F88" s="23">
        <v>7</v>
      </c>
      <c r="G88" s="2" t="s">
        <v>171</v>
      </c>
      <c r="H88" s="26">
        <f>F88%*(H37+H59+H81+H71+H85)</f>
        <v>30.152362444313088</v>
      </c>
      <c r="I88" s="52" t="s">
        <v>110</v>
      </c>
    </row>
    <row r="89" spans="1:10" ht="16" customHeight="1" x14ac:dyDescent="0.2">
      <c r="A89" s="38"/>
      <c r="B89" s="49"/>
      <c r="D89" s="24"/>
    </row>
    <row r="90" spans="1:10" ht="17" customHeight="1" x14ac:dyDescent="0.2">
      <c r="A90" s="71" t="s">
        <v>172</v>
      </c>
      <c r="B90" s="71"/>
      <c r="C90" s="71"/>
    </row>
    <row r="91" spans="1:10" ht="16" customHeight="1" x14ac:dyDescent="0.2">
      <c r="G91" s="2" t="s">
        <v>173</v>
      </c>
      <c r="H91" s="55">
        <f>(H37+H59+H81+H71+H85+H88)</f>
        <v>460.90039736307148</v>
      </c>
      <c r="I91" s="52" t="s">
        <v>110</v>
      </c>
    </row>
    <row r="92" spans="1:10" ht="17" customHeight="1" x14ac:dyDescent="0.2">
      <c r="A92" s="30" t="s">
        <v>174</v>
      </c>
      <c r="B92" s="23">
        <v>10</v>
      </c>
      <c r="C92" s="2" t="s">
        <v>175</v>
      </c>
      <c r="H92" s="21">
        <f>IF($H$8&lt;350,H91*B92%,0)</f>
        <v>0</v>
      </c>
      <c r="I92" s="52" t="s">
        <v>110</v>
      </c>
    </row>
    <row r="93" spans="1:10" ht="16" customHeight="1" x14ac:dyDescent="0.2">
      <c r="A93" s="34" t="s">
        <v>176</v>
      </c>
      <c r="B93" s="23">
        <v>20</v>
      </c>
      <c r="C93" s="2" t="s">
        <v>177</v>
      </c>
      <c r="H93" s="21">
        <f>H91*B93%</f>
        <v>92.180079472614295</v>
      </c>
      <c r="I93" s="52" t="s">
        <v>110</v>
      </c>
    </row>
    <row r="94" spans="1:10" ht="16" customHeight="1" x14ac:dyDescent="0.2">
      <c r="A94" s="34" t="s">
        <v>178</v>
      </c>
      <c r="H94" s="56">
        <f>SUM(H91:H93)</f>
        <v>553.08047683568577</v>
      </c>
      <c r="I94" s="52" t="s">
        <v>110</v>
      </c>
      <c r="J94" s="57"/>
    </row>
    <row r="96" spans="1:10" ht="4.5" customHeight="1" x14ac:dyDescent="0.2"/>
    <row r="97" spans="1:1" x14ac:dyDescent="0.2">
      <c r="A97" s="58" t="s">
        <v>179</v>
      </c>
    </row>
  </sheetData>
  <mergeCells count="21">
    <mergeCell ref="A90:C90"/>
    <mergeCell ref="A36:C36"/>
    <mergeCell ref="A39:C39"/>
    <mergeCell ref="F40:I40"/>
    <mergeCell ref="A58:C58"/>
    <mergeCell ref="A61:C61"/>
    <mergeCell ref="A62:D62"/>
    <mergeCell ref="F62:I62"/>
    <mergeCell ref="A73:C73"/>
    <mergeCell ref="A80:C80"/>
    <mergeCell ref="A84:C84"/>
    <mergeCell ref="E85:F85"/>
    <mergeCell ref="A87:C87"/>
    <mergeCell ref="A27:D27"/>
    <mergeCell ref="F27:I27"/>
    <mergeCell ref="J4:J8"/>
    <mergeCell ref="A1:I1"/>
    <mergeCell ref="A3:C3"/>
    <mergeCell ref="A10:F10"/>
    <mergeCell ref="A11:D11"/>
    <mergeCell ref="A26:C26"/>
  </mergeCells>
  <conditionalFormatting sqref="J12">
    <cfRule type="containsText" dxfId="1" priority="2" operator="containsText" text="adjust">
      <formula>NOT(ISERROR(SEARCH("adjust",J12)))</formula>
    </cfRule>
  </conditionalFormatting>
  <conditionalFormatting sqref="J12:J24">
    <cfRule type="containsText" dxfId="0" priority="1" operator="containsText" text="adjust">
      <formula>NOT(ISERROR(SEARCH("adjust",J12)))</formula>
    </cfRule>
  </conditionalFormatting>
  <printOptions horizontalCentered="1"/>
  <pageMargins left="0.25" right="0.25"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Equipment Selection</vt:lpstr>
      <vt:lpstr>Suppl &amp; Additives</vt:lpstr>
      <vt:lpstr>Costing model generic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2017-12-18T06:03:11Z</dcterms:created>
  <dcterms:modified xsi:type="dcterms:W3CDTF">2017-12-18T15:47:02Z</dcterms:modified>
</cp:coreProperties>
</file>