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10411"/>
  <workbookPr defaultThemeVersion="124226"/>
  <mc:AlternateContent xmlns:mc="http://schemas.openxmlformats.org/markup-compatibility/2006">
    <mc:Choice Requires="x15">
      <x15ac:absPath xmlns:x15ac="http://schemas.microsoft.com/office/spreadsheetml/2010/11/ac" url="/Users/nabot/Downloads/"/>
    </mc:Choice>
  </mc:AlternateContent>
  <xr:revisionPtr revIDLastSave="0" documentId="13_ncr:1_{570C78F0-3CBE-D046-8307-4D0D44EE2DC3}" xr6:coauthVersionLast="46" xr6:coauthVersionMax="46" xr10:uidLastSave="{00000000-0000-0000-0000-000000000000}"/>
  <bookViews>
    <workbookView xWindow="0" yWindow="460" windowWidth="25600" windowHeight="14180" xr2:uid="{00000000-000D-0000-FFFF-FFFF00000000}"/>
  </bookViews>
  <sheets>
    <sheet name="GENERAL INFORMATION" sheetId="9" r:id="rId1"/>
    <sheet name="DATA INPUT" sheetId="10" r:id="rId2"/>
    <sheet name="RESULTS_REPORT" sheetId="11" r:id="rId3"/>
    <sheet name="CALCULATIONS" sheetId="12" state="hidden" r:id="rId4"/>
  </sheets>
  <definedNames>
    <definedName name="_xlnm._FilterDatabase" localSheetId="1" hidden="1">'DATA INPUT'!$A$6:$M$41</definedName>
    <definedName name="TREELIST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11" i="9" l="1"/>
  <c r="AC3" i="12" l="1"/>
  <c r="AC4" i="12"/>
  <c r="AC5" i="12"/>
  <c r="AC6" i="12"/>
  <c r="AC7" i="12"/>
  <c r="AC8" i="12"/>
  <c r="AC9" i="12"/>
  <c r="AC10" i="12"/>
  <c r="AC11" i="12"/>
  <c r="AC12" i="12"/>
  <c r="AC13" i="12"/>
  <c r="AC14" i="12"/>
  <c r="AC15" i="12"/>
  <c r="AC16" i="12"/>
  <c r="AC17" i="12"/>
  <c r="AC18" i="12"/>
  <c r="AC19" i="12"/>
  <c r="AC20" i="12"/>
  <c r="AC21" i="12"/>
  <c r="AC22" i="12"/>
  <c r="AC23" i="12"/>
  <c r="AC24" i="12"/>
  <c r="AC25" i="12"/>
  <c r="AC26" i="12"/>
  <c r="AC27" i="12"/>
  <c r="AC28" i="12"/>
  <c r="AC29" i="12"/>
  <c r="AC30" i="12"/>
  <c r="AC31" i="12"/>
  <c r="AC32" i="12"/>
  <c r="AC33" i="12"/>
  <c r="AC34" i="12"/>
  <c r="AC35" i="12"/>
  <c r="AC36" i="12"/>
  <c r="AC37" i="12"/>
  <c r="AB27" i="12"/>
  <c r="N28" i="11" s="1"/>
  <c r="V28" i="11" s="1"/>
  <c r="AB28" i="12"/>
  <c r="N29" i="11" s="1"/>
  <c r="V29" i="11" s="1"/>
  <c r="AB29" i="12"/>
  <c r="N30" i="11" s="1"/>
  <c r="V30" i="11" s="1"/>
  <c r="AB30" i="12"/>
  <c r="N31" i="11" s="1"/>
  <c r="V31" i="11" s="1"/>
  <c r="AB31" i="12"/>
  <c r="N32" i="11" s="1"/>
  <c r="V32" i="11" s="1"/>
  <c r="AB32" i="12"/>
  <c r="N33" i="11" s="1"/>
  <c r="V33" i="11" s="1"/>
  <c r="AB33" i="12"/>
  <c r="N34" i="11" s="1"/>
  <c r="V34" i="11" s="1"/>
  <c r="AB34" i="12"/>
  <c r="N35" i="11" s="1"/>
  <c r="V35" i="11" s="1"/>
  <c r="AB35" i="12"/>
  <c r="N36" i="11" s="1"/>
  <c r="V36" i="11" s="1"/>
  <c r="AB36" i="12"/>
  <c r="N37" i="11" s="1"/>
  <c r="V37" i="11" s="1"/>
  <c r="AB37" i="12"/>
  <c r="N38" i="11" s="1"/>
  <c r="V38" i="11" s="1"/>
  <c r="AB23" i="12"/>
  <c r="N24" i="11" s="1"/>
  <c r="V24" i="11" s="1"/>
  <c r="AB24" i="12"/>
  <c r="N25" i="11" s="1"/>
  <c r="V25" i="11" s="1"/>
  <c r="AB25" i="12"/>
  <c r="N26" i="11" s="1"/>
  <c r="V26" i="11" s="1"/>
  <c r="AB26" i="12"/>
  <c r="N27" i="11" s="1"/>
  <c r="V27" i="11" s="1"/>
  <c r="AB20" i="12"/>
  <c r="N21" i="11" s="1"/>
  <c r="V21" i="11" s="1"/>
  <c r="AB21" i="12"/>
  <c r="N22" i="11" s="1"/>
  <c r="V22" i="11" s="1"/>
  <c r="AB22" i="12"/>
  <c r="N23" i="11" s="1"/>
  <c r="V23" i="11" s="1"/>
  <c r="B8" i="10"/>
  <c r="B9" i="10"/>
  <c r="B10" i="10"/>
  <c r="B11" i="10"/>
  <c r="B12" i="10"/>
  <c r="B13" i="10"/>
  <c r="B14" i="10"/>
  <c r="E10" i="12" s="1"/>
  <c r="B15" i="10"/>
  <c r="B16" i="10"/>
  <c r="B17" i="10"/>
  <c r="B18" i="10"/>
  <c r="B19" i="10"/>
  <c r="B20" i="10"/>
  <c r="B21" i="10"/>
  <c r="B22" i="10"/>
  <c r="B23" i="10"/>
  <c r="B24" i="10"/>
  <c r="B25" i="10"/>
  <c r="B26" i="10"/>
  <c r="B27" i="10"/>
  <c r="B28" i="10"/>
  <c r="B29" i="10"/>
  <c r="B30" i="10"/>
  <c r="B31" i="10"/>
  <c r="B32" i="10"/>
  <c r="B33" i="10"/>
  <c r="B34" i="10"/>
  <c r="B35" i="10"/>
  <c r="B36" i="10"/>
  <c r="B37" i="10"/>
  <c r="B38" i="10"/>
  <c r="B39" i="10"/>
  <c r="B40" i="10"/>
  <c r="B41" i="10"/>
  <c r="B42" i="10"/>
  <c r="B43" i="10"/>
  <c r="B44" i="10"/>
  <c r="B45" i="10"/>
  <c r="B46" i="10"/>
  <c r="B47" i="10"/>
  <c r="B48" i="10"/>
  <c r="B49" i="10"/>
  <c r="B50" i="10"/>
  <c r="B51" i="10"/>
  <c r="B52" i="10"/>
  <c r="B53" i="10"/>
  <c r="B54" i="10"/>
  <c r="B55" i="10"/>
  <c r="B56" i="10"/>
  <c r="B57" i="10"/>
  <c r="B58" i="10"/>
  <c r="B59" i="10"/>
  <c r="B60" i="10"/>
  <c r="B61" i="10"/>
  <c r="B62" i="10"/>
  <c r="B63" i="10"/>
  <c r="B64" i="10"/>
  <c r="B65" i="10"/>
  <c r="B66" i="10"/>
  <c r="B67" i="10"/>
  <c r="B68" i="10"/>
  <c r="B69" i="10"/>
  <c r="B70" i="10"/>
  <c r="B71" i="10"/>
  <c r="B72" i="10"/>
  <c r="B73" i="10"/>
  <c r="B74" i="10"/>
  <c r="B75" i="10"/>
  <c r="B76" i="10"/>
  <c r="B77" i="10"/>
  <c r="B78" i="10"/>
  <c r="B79" i="10"/>
  <c r="B80" i="10"/>
  <c r="B81" i="10"/>
  <c r="B82" i="10"/>
  <c r="B83" i="10"/>
  <c r="B84" i="10"/>
  <c r="B85" i="10"/>
  <c r="B86" i="10"/>
  <c r="B87" i="10"/>
  <c r="B88" i="10"/>
  <c r="B89" i="10"/>
  <c r="B90" i="10"/>
  <c r="B91" i="10"/>
  <c r="B92" i="10"/>
  <c r="B93" i="10"/>
  <c r="B94" i="10"/>
  <c r="B95" i="10"/>
  <c r="B96" i="10"/>
  <c r="B97" i="10"/>
  <c r="B98" i="10"/>
  <c r="B99" i="10"/>
  <c r="B100" i="10"/>
  <c r="B101" i="10"/>
  <c r="B102" i="10"/>
  <c r="B103" i="10"/>
  <c r="B104" i="10"/>
  <c r="B105" i="10"/>
  <c r="B106" i="10"/>
  <c r="B107" i="10"/>
  <c r="B108" i="10"/>
  <c r="B109" i="10"/>
  <c r="B110" i="10"/>
  <c r="B111" i="10"/>
  <c r="B112" i="10"/>
  <c r="B113" i="10"/>
  <c r="B114" i="10"/>
  <c r="B115" i="10"/>
  <c r="B116" i="10"/>
  <c r="B117" i="10"/>
  <c r="B118" i="10"/>
  <c r="B119" i="10"/>
  <c r="B120" i="10"/>
  <c r="B121" i="10"/>
  <c r="B122" i="10"/>
  <c r="B123" i="10"/>
  <c r="B124" i="10"/>
  <c r="B125" i="10"/>
  <c r="B126" i="10"/>
  <c r="B127" i="10"/>
  <c r="P123" i="12" s="1"/>
  <c r="B128" i="10"/>
  <c r="P124" i="12" s="1"/>
  <c r="B129" i="10"/>
  <c r="P125" i="12" s="1"/>
  <c r="B130" i="10"/>
  <c r="P126" i="12" s="1"/>
  <c r="B131" i="10"/>
  <c r="P127" i="12" s="1"/>
  <c r="B132" i="10"/>
  <c r="P128" i="12" s="1"/>
  <c r="B133" i="10"/>
  <c r="R129" i="12" s="1"/>
  <c r="B134" i="10"/>
  <c r="P130" i="12" s="1"/>
  <c r="B135" i="10"/>
  <c r="P131" i="12" s="1"/>
  <c r="B136" i="10"/>
  <c r="P132" i="12" s="1"/>
  <c r="B137" i="10"/>
  <c r="P133" i="12" s="1"/>
  <c r="B138" i="10"/>
  <c r="P134" i="12" s="1"/>
  <c r="B139" i="10"/>
  <c r="P135" i="12" s="1"/>
  <c r="B140" i="10"/>
  <c r="P136" i="12" s="1"/>
  <c r="B141" i="10"/>
  <c r="R137" i="12" s="1"/>
  <c r="B142" i="10"/>
  <c r="P138" i="12" s="1"/>
  <c r="B143" i="10"/>
  <c r="P139" i="12" s="1"/>
  <c r="B144" i="10"/>
  <c r="P140" i="12" s="1"/>
  <c r="B145" i="10"/>
  <c r="P141" i="12" s="1"/>
  <c r="B146" i="10"/>
  <c r="P142" i="12" s="1"/>
  <c r="B147" i="10"/>
  <c r="P143" i="12" s="1"/>
  <c r="B148" i="10"/>
  <c r="P144" i="12" s="1"/>
  <c r="B149" i="10"/>
  <c r="R145" i="12" s="1"/>
  <c r="B150" i="10"/>
  <c r="P146" i="12" s="1"/>
  <c r="B151" i="10"/>
  <c r="P147" i="12" s="1"/>
  <c r="B152" i="10"/>
  <c r="P148" i="12" s="1"/>
  <c r="B153" i="10"/>
  <c r="P149" i="12" s="1"/>
  <c r="B154" i="10"/>
  <c r="P150" i="12" s="1"/>
  <c r="B155" i="10"/>
  <c r="P151" i="12" s="1"/>
  <c r="B156" i="10"/>
  <c r="P152" i="12" s="1"/>
  <c r="B7" i="10"/>
  <c r="R125" i="12"/>
  <c r="Q127" i="12"/>
  <c r="N123" i="12"/>
  <c r="N124" i="12"/>
  <c r="N125" i="12"/>
  <c r="N126" i="12"/>
  <c r="N127" i="12"/>
  <c r="N128" i="12"/>
  <c r="N129" i="12"/>
  <c r="N130" i="12"/>
  <c r="N131" i="12"/>
  <c r="N132" i="12"/>
  <c r="N133" i="12"/>
  <c r="N134" i="12"/>
  <c r="N135" i="12"/>
  <c r="N136" i="12"/>
  <c r="N137" i="12"/>
  <c r="N138" i="12"/>
  <c r="N139" i="12"/>
  <c r="N140" i="12"/>
  <c r="N141" i="12"/>
  <c r="N142" i="12"/>
  <c r="N143" i="12"/>
  <c r="N144" i="12"/>
  <c r="N145" i="12"/>
  <c r="N146" i="12"/>
  <c r="N147" i="12"/>
  <c r="N148" i="12"/>
  <c r="N149" i="12"/>
  <c r="N150" i="12"/>
  <c r="N151" i="12"/>
  <c r="N152" i="12"/>
  <c r="C125" i="12"/>
  <c r="C141" i="12"/>
  <c r="C147" i="12"/>
  <c r="A123" i="12"/>
  <c r="A124" i="12"/>
  <c r="A125" i="12"/>
  <c r="A126" i="12"/>
  <c r="A127" i="12"/>
  <c r="A128" i="12"/>
  <c r="A129" i="12"/>
  <c r="A130" i="12"/>
  <c r="A131" i="12"/>
  <c r="A132" i="12"/>
  <c r="A133" i="12"/>
  <c r="A134" i="12"/>
  <c r="A135" i="12"/>
  <c r="A136" i="12"/>
  <c r="A137" i="12"/>
  <c r="A138" i="12"/>
  <c r="A139" i="12"/>
  <c r="A140" i="12"/>
  <c r="A141" i="12"/>
  <c r="A142" i="12"/>
  <c r="A143" i="12"/>
  <c r="A144" i="12"/>
  <c r="A145" i="12"/>
  <c r="A146" i="12"/>
  <c r="A147" i="12"/>
  <c r="A148" i="12"/>
  <c r="A149" i="12"/>
  <c r="A150" i="12"/>
  <c r="A151" i="12"/>
  <c r="A152" i="12"/>
  <c r="N127" i="10"/>
  <c r="O127" i="10"/>
  <c r="P127" i="10"/>
  <c r="N128" i="10"/>
  <c r="O128" i="10"/>
  <c r="P128" i="10"/>
  <c r="N129" i="10"/>
  <c r="O129" i="10"/>
  <c r="P129" i="10"/>
  <c r="N130" i="10"/>
  <c r="O130" i="10"/>
  <c r="P130" i="10"/>
  <c r="N131" i="10"/>
  <c r="O131" i="10"/>
  <c r="P131" i="10"/>
  <c r="N132" i="10"/>
  <c r="O132" i="10"/>
  <c r="P132" i="10"/>
  <c r="N133" i="10"/>
  <c r="O133" i="10"/>
  <c r="P133" i="10"/>
  <c r="N134" i="10"/>
  <c r="O134" i="10"/>
  <c r="P134" i="10"/>
  <c r="N135" i="10"/>
  <c r="O135" i="10"/>
  <c r="P135" i="10"/>
  <c r="N136" i="10"/>
  <c r="O136" i="10"/>
  <c r="P136" i="10"/>
  <c r="N137" i="10"/>
  <c r="O137" i="10"/>
  <c r="P137" i="10"/>
  <c r="N138" i="10"/>
  <c r="O138" i="10"/>
  <c r="P138" i="10"/>
  <c r="N139" i="10"/>
  <c r="O139" i="10"/>
  <c r="P139" i="10"/>
  <c r="N140" i="10"/>
  <c r="O140" i="10"/>
  <c r="P140" i="10"/>
  <c r="N141" i="10"/>
  <c r="O141" i="10"/>
  <c r="P141" i="10"/>
  <c r="N142" i="10"/>
  <c r="O142" i="10"/>
  <c r="P142" i="10"/>
  <c r="N143" i="10"/>
  <c r="O143" i="10"/>
  <c r="P143" i="10"/>
  <c r="N144" i="10"/>
  <c r="O144" i="10"/>
  <c r="P144" i="10"/>
  <c r="N145" i="10"/>
  <c r="O145" i="10"/>
  <c r="P145" i="10"/>
  <c r="N146" i="10"/>
  <c r="O146" i="10"/>
  <c r="P146" i="10"/>
  <c r="N147" i="10"/>
  <c r="O147" i="10"/>
  <c r="P147" i="10"/>
  <c r="N148" i="10"/>
  <c r="O148" i="10"/>
  <c r="P148" i="10"/>
  <c r="N149" i="10"/>
  <c r="O149" i="10"/>
  <c r="P149" i="10"/>
  <c r="N150" i="10"/>
  <c r="O150" i="10"/>
  <c r="P150" i="10"/>
  <c r="N151" i="10"/>
  <c r="O151" i="10"/>
  <c r="P151" i="10"/>
  <c r="N152" i="10"/>
  <c r="O152" i="10"/>
  <c r="P152" i="10"/>
  <c r="N153" i="10"/>
  <c r="O153" i="10"/>
  <c r="P153" i="10"/>
  <c r="N154" i="10"/>
  <c r="O154" i="10"/>
  <c r="P154" i="10"/>
  <c r="N155" i="10"/>
  <c r="O155" i="10"/>
  <c r="P155" i="10"/>
  <c r="N156" i="10"/>
  <c r="O156" i="10"/>
  <c r="P156" i="10"/>
  <c r="M7" i="10"/>
  <c r="E127" i="12" l="1"/>
  <c r="O147" i="12"/>
  <c r="E145" i="12"/>
  <c r="C123" i="12"/>
  <c r="O131" i="12"/>
  <c r="C139" i="12"/>
  <c r="Q123" i="12"/>
  <c r="C131" i="12"/>
  <c r="E143" i="12"/>
  <c r="E129" i="12"/>
  <c r="P129" i="12"/>
  <c r="E135" i="12"/>
  <c r="P137" i="12"/>
  <c r="O145" i="12"/>
  <c r="O151" i="12"/>
  <c r="C149" i="12"/>
  <c r="D134" i="12"/>
  <c r="O135" i="12"/>
  <c r="O129" i="12"/>
  <c r="E137" i="12"/>
  <c r="C133" i="12"/>
  <c r="R133" i="12"/>
  <c r="O125" i="12"/>
  <c r="I132" i="12"/>
  <c r="E151" i="12"/>
  <c r="R149" i="12"/>
  <c r="R141" i="12"/>
  <c r="O137" i="12"/>
  <c r="D150" i="12"/>
  <c r="I148" i="12"/>
  <c r="D142" i="12"/>
  <c r="D126" i="12"/>
  <c r="I140" i="12"/>
  <c r="S140" i="12" s="1"/>
  <c r="I124" i="12"/>
  <c r="S124" i="12" s="1"/>
  <c r="O150" i="12"/>
  <c r="O148" i="12"/>
  <c r="O144" i="12"/>
  <c r="O138" i="12"/>
  <c r="O128" i="12"/>
  <c r="D146" i="12"/>
  <c r="D138" i="12"/>
  <c r="D130" i="12"/>
  <c r="I152" i="12"/>
  <c r="S152" i="12" s="1"/>
  <c r="I144" i="12"/>
  <c r="S144" i="12" s="1"/>
  <c r="I136" i="12"/>
  <c r="S136" i="12" s="1"/>
  <c r="I128" i="12"/>
  <c r="S128" i="12" s="1"/>
  <c r="O134" i="12"/>
  <c r="O132" i="12"/>
  <c r="P145" i="12"/>
  <c r="Q143" i="12"/>
  <c r="Q139" i="12"/>
  <c r="O149" i="12"/>
  <c r="O141" i="12"/>
  <c r="O133" i="12"/>
  <c r="C151" i="12"/>
  <c r="E149" i="12"/>
  <c r="E147" i="12"/>
  <c r="C145" i="12"/>
  <c r="C143" i="12"/>
  <c r="E141" i="12"/>
  <c r="E139" i="12"/>
  <c r="C137" i="12"/>
  <c r="C135" i="12"/>
  <c r="E133" i="12"/>
  <c r="E131" i="12"/>
  <c r="C129" i="12"/>
  <c r="C127" i="12"/>
  <c r="E125" i="12"/>
  <c r="E123" i="12"/>
  <c r="Q151" i="12"/>
  <c r="Q147" i="12"/>
  <c r="O143" i="12"/>
  <c r="O139" i="12"/>
  <c r="Q135" i="12"/>
  <c r="Q131" i="12"/>
  <c r="O127" i="12"/>
  <c r="O123" i="12"/>
  <c r="D152" i="12"/>
  <c r="D148" i="12"/>
  <c r="D144" i="12"/>
  <c r="D140" i="12"/>
  <c r="D136" i="12"/>
  <c r="D132" i="12"/>
  <c r="D128" i="12"/>
  <c r="D124" i="12"/>
  <c r="L150" i="12"/>
  <c r="L146" i="12"/>
  <c r="L142" i="12"/>
  <c r="L138" i="12"/>
  <c r="L134" i="12"/>
  <c r="L130" i="12"/>
  <c r="L126" i="12"/>
  <c r="O152" i="12"/>
  <c r="S148" i="12"/>
  <c r="O146" i="12"/>
  <c r="O142" i="12"/>
  <c r="O140" i="12"/>
  <c r="O136" i="12"/>
  <c r="S132" i="12"/>
  <c r="O130" i="12"/>
  <c r="O126" i="12"/>
  <c r="O124" i="12"/>
  <c r="D151" i="12"/>
  <c r="B151" i="12"/>
  <c r="D149" i="12"/>
  <c r="B149" i="12"/>
  <c r="D147" i="12"/>
  <c r="B147" i="12"/>
  <c r="D145" i="12"/>
  <c r="B145" i="12"/>
  <c r="D143" i="12"/>
  <c r="B143" i="12"/>
  <c r="D141" i="12"/>
  <c r="B141" i="12"/>
  <c r="D139" i="12"/>
  <c r="B139" i="12"/>
  <c r="F137" i="12"/>
  <c r="D137" i="12"/>
  <c r="B137" i="12"/>
  <c r="D135" i="12"/>
  <c r="B135" i="12"/>
  <c r="D133" i="12"/>
  <c r="B133" i="12"/>
  <c r="D131" i="12"/>
  <c r="B131" i="12"/>
  <c r="F129" i="12"/>
  <c r="D129" i="12"/>
  <c r="B129" i="12"/>
  <c r="D127" i="12"/>
  <c r="B127" i="12"/>
  <c r="D125" i="12"/>
  <c r="B125" i="12"/>
  <c r="D123" i="12"/>
  <c r="B123" i="12"/>
  <c r="L151" i="12"/>
  <c r="I151" i="12"/>
  <c r="L149" i="12"/>
  <c r="I149" i="12"/>
  <c r="J149" i="12" s="1"/>
  <c r="K149" i="12" s="1"/>
  <c r="L147" i="12"/>
  <c r="I147" i="12"/>
  <c r="L145" i="12"/>
  <c r="I145" i="12"/>
  <c r="J145" i="12" s="1"/>
  <c r="K145" i="12" s="1"/>
  <c r="L143" i="12"/>
  <c r="I143" i="12"/>
  <c r="L141" i="12"/>
  <c r="I141" i="12"/>
  <c r="J141" i="12" s="1"/>
  <c r="K141" i="12" s="1"/>
  <c r="L139" i="12"/>
  <c r="I139" i="12"/>
  <c r="L137" i="12"/>
  <c r="I137" i="12"/>
  <c r="J137" i="12" s="1"/>
  <c r="K137" i="12" s="1"/>
  <c r="L135" i="12"/>
  <c r="I135" i="12"/>
  <c r="L133" i="12"/>
  <c r="I133" i="12"/>
  <c r="J133" i="12" s="1"/>
  <c r="K133" i="12" s="1"/>
  <c r="L131" i="12"/>
  <c r="I131" i="12"/>
  <c r="L129" i="12"/>
  <c r="I129" i="12"/>
  <c r="J129" i="12" s="1"/>
  <c r="K129" i="12" s="1"/>
  <c r="L127" i="12"/>
  <c r="I127" i="12"/>
  <c r="L125" i="12"/>
  <c r="I125" i="12"/>
  <c r="J125" i="12" s="1"/>
  <c r="K125" i="12" s="1"/>
  <c r="L123" i="12"/>
  <c r="I123" i="12"/>
  <c r="R151" i="12"/>
  <c r="S149" i="12"/>
  <c r="Q149" i="12"/>
  <c r="R147" i="12"/>
  <c r="S145" i="12"/>
  <c r="Q145" i="12"/>
  <c r="R143" i="12"/>
  <c r="S141" i="12"/>
  <c r="Q141" i="12"/>
  <c r="R139" i="12"/>
  <c r="S137" i="12"/>
  <c r="Q137" i="12"/>
  <c r="R135" i="12"/>
  <c r="S133" i="12"/>
  <c r="Q133" i="12"/>
  <c r="R131" i="12"/>
  <c r="S129" i="12"/>
  <c r="Q129" i="12"/>
  <c r="R127" i="12"/>
  <c r="S125" i="12"/>
  <c r="Q125" i="12"/>
  <c r="R123" i="12"/>
  <c r="F152" i="12"/>
  <c r="B152" i="12"/>
  <c r="F150" i="12"/>
  <c r="B150" i="12"/>
  <c r="F148" i="12"/>
  <c r="B148" i="12"/>
  <c r="F146" i="12"/>
  <c r="B146" i="12"/>
  <c r="F144" i="12"/>
  <c r="B144" i="12"/>
  <c r="F142" i="12"/>
  <c r="B142" i="12"/>
  <c r="F140" i="12"/>
  <c r="B140" i="12"/>
  <c r="F138" i="12"/>
  <c r="B138" i="12"/>
  <c r="F136" i="12"/>
  <c r="B136" i="12"/>
  <c r="F134" i="12"/>
  <c r="B134" i="12"/>
  <c r="F132" i="12"/>
  <c r="B132" i="12"/>
  <c r="F130" i="12"/>
  <c r="B130" i="12"/>
  <c r="F128" i="12"/>
  <c r="B128" i="12"/>
  <c r="F126" i="12"/>
  <c r="B126" i="12"/>
  <c r="F124" i="12"/>
  <c r="B124" i="12"/>
  <c r="L152" i="12"/>
  <c r="I150" i="12"/>
  <c r="S150" i="12" s="1"/>
  <c r="L148" i="12"/>
  <c r="I146" i="12"/>
  <c r="S146" i="12" s="1"/>
  <c r="L144" i="12"/>
  <c r="I142" i="12"/>
  <c r="S142" i="12" s="1"/>
  <c r="L140" i="12"/>
  <c r="I138" i="12"/>
  <c r="S138" i="12" s="1"/>
  <c r="L136" i="12"/>
  <c r="I134" i="12"/>
  <c r="S134" i="12" s="1"/>
  <c r="L132" i="12"/>
  <c r="I130" i="12"/>
  <c r="S130" i="12" s="1"/>
  <c r="L128" i="12"/>
  <c r="I126" i="12"/>
  <c r="S126" i="12" s="1"/>
  <c r="L124" i="12"/>
  <c r="Q152" i="12"/>
  <c r="Q150" i="12"/>
  <c r="Q148" i="12"/>
  <c r="Q146" i="12"/>
  <c r="Q144" i="12"/>
  <c r="Q142" i="12"/>
  <c r="Q140" i="12"/>
  <c r="Q138" i="12"/>
  <c r="Q136" i="12"/>
  <c r="Q134" i="12"/>
  <c r="Q132" i="12"/>
  <c r="Q130" i="12"/>
  <c r="Q128" i="12"/>
  <c r="Q126" i="12"/>
  <c r="Q124" i="12"/>
  <c r="E152" i="12"/>
  <c r="C152" i="12"/>
  <c r="E150" i="12"/>
  <c r="C150" i="12"/>
  <c r="E148" i="12"/>
  <c r="C148" i="12"/>
  <c r="E146" i="12"/>
  <c r="C146" i="12"/>
  <c r="E144" i="12"/>
  <c r="C144" i="12"/>
  <c r="E142" i="12"/>
  <c r="C142" i="12"/>
  <c r="E140" i="12"/>
  <c r="C140" i="12"/>
  <c r="E138" i="12"/>
  <c r="C138" i="12"/>
  <c r="E136" i="12"/>
  <c r="C136" i="12"/>
  <c r="E134" i="12"/>
  <c r="C134" i="12"/>
  <c r="E132" i="12"/>
  <c r="C132" i="12"/>
  <c r="E130" i="12"/>
  <c r="C130" i="12"/>
  <c r="E128" i="12"/>
  <c r="C128" i="12"/>
  <c r="E126" i="12"/>
  <c r="C126" i="12"/>
  <c r="E124" i="12"/>
  <c r="C124" i="12"/>
  <c r="J152" i="12"/>
  <c r="K152" i="12" s="1"/>
  <c r="J150" i="12"/>
  <c r="K150" i="12" s="1"/>
  <c r="J148" i="12"/>
  <c r="K148" i="12" s="1"/>
  <c r="J146" i="12"/>
  <c r="K146" i="12" s="1"/>
  <c r="J144" i="12"/>
  <c r="K144" i="12" s="1"/>
  <c r="J142" i="12"/>
  <c r="K142" i="12" s="1"/>
  <c r="J140" i="12"/>
  <c r="K140" i="12" s="1"/>
  <c r="J138" i="12"/>
  <c r="K138" i="12" s="1"/>
  <c r="J136" i="12"/>
  <c r="K136" i="12" s="1"/>
  <c r="J134" i="12"/>
  <c r="K134" i="12" s="1"/>
  <c r="J132" i="12"/>
  <c r="K132" i="12" s="1"/>
  <c r="J130" i="12"/>
  <c r="K130" i="12" s="1"/>
  <c r="J128" i="12"/>
  <c r="K128" i="12" s="1"/>
  <c r="J126" i="12"/>
  <c r="K126" i="12" s="1"/>
  <c r="J124" i="12"/>
  <c r="K124" i="12" s="1"/>
  <c r="R152" i="12"/>
  <c r="R150" i="12"/>
  <c r="R148" i="12"/>
  <c r="R146" i="12"/>
  <c r="R144" i="12"/>
  <c r="R142" i="12"/>
  <c r="R140" i="12"/>
  <c r="R138" i="12"/>
  <c r="R136" i="12"/>
  <c r="R134" i="12"/>
  <c r="R132" i="12"/>
  <c r="R130" i="12"/>
  <c r="R128" i="12"/>
  <c r="R126" i="12"/>
  <c r="R124" i="12"/>
  <c r="X3" i="12"/>
  <c r="W3" i="12"/>
  <c r="V3" i="12"/>
  <c r="N57" i="10"/>
  <c r="O57" i="10"/>
  <c r="P57" i="10"/>
  <c r="N58" i="10"/>
  <c r="O58" i="10"/>
  <c r="P58" i="10"/>
  <c r="N59" i="10"/>
  <c r="O59" i="10"/>
  <c r="P59" i="10"/>
  <c r="N60" i="10"/>
  <c r="O60" i="10"/>
  <c r="P60" i="10"/>
  <c r="N61" i="10"/>
  <c r="O61" i="10"/>
  <c r="P61" i="10"/>
  <c r="N62" i="10"/>
  <c r="O62" i="10"/>
  <c r="P62" i="10"/>
  <c r="N63" i="10"/>
  <c r="O63" i="10"/>
  <c r="P63" i="10"/>
  <c r="N64" i="10"/>
  <c r="O64" i="10"/>
  <c r="P64" i="10"/>
  <c r="N65" i="10"/>
  <c r="O65" i="10"/>
  <c r="P65" i="10"/>
  <c r="N66" i="10"/>
  <c r="O66" i="10"/>
  <c r="P66" i="10"/>
  <c r="N67" i="10"/>
  <c r="O67" i="10"/>
  <c r="P67" i="10"/>
  <c r="N68" i="10"/>
  <c r="O68" i="10"/>
  <c r="P68" i="10"/>
  <c r="N69" i="10"/>
  <c r="O69" i="10"/>
  <c r="P69" i="10"/>
  <c r="N70" i="10"/>
  <c r="O70" i="10"/>
  <c r="P70" i="10"/>
  <c r="N71" i="10"/>
  <c r="O71" i="10"/>
  <c r="P71" i="10"/>
  <c r="N72" i="10"/>
  <c r="O72" i="10"/>
  <c r="P72" i="10"/>
  <c r="N73" i="10"/>
  <c r="O73" i="10"/>
  <c r="P73" i="10"/>
  <c r="N74" i="10"/>
  <c r="O74" i="10"/>
  <c r="P74" i="10"/>
  <c r="N75" i="10"/>
  <c r="O75" i="10"/>
  <c r="P75" i="10"/>
  <c r="N76" i="10"/>
  <c r="O76" i="10"/>
  <c r="P76" i="10"/>
  <c r="N77" i="10"/>
  <c r="O77" i="10"/>
  <c r="P77" i="10"/>
  <c r="N78" i="10"/>
  <c r="O78" i="10"/>
  <c r="P78" i="10"/>
  <c r="N79" i="10"/>
  <c r="O79" i="10"/>
  <c r="P79" i="10"/>
  <c r="N80" i="10"/>
  <c r="O80" i="10"/>
  <c r="P80" i="10"/>
  <c r="N81" i="10"/>
  <c r="O81" i="10"/>
  <c r="P81" i="10"/>
  <c r="N82" i="10"/>
  <c r="O82" i="10"/>
  <c r="P82" i="10"/>
  <c r="N83" i="10"/>
  <c r="O83" i="10"/>
  <c r="P83" i="10"/>
  <c r="N84" i="10"/>
  <c r="O84" i="10"/>
  <c r="P84" i="10"/>
  <c r="N85" i="10"/>
  <c r="O85" i="10"/>
  <c r="P85" i="10"/>
  <c r="N86" i="10"/>
  <c r="O86" i="10"/>
  <c r="P86" i="10"/>
  <c r="N87" i="10"/>
  <c r="O87" i="10"/>
  <c r="P87" i="10"/>
  <c r="N88" i="10"/>
  <c r="O88" i="10"/>
  <c r="P88" i="10"/>
  <c r="N89" i="10"/>
  <c r="O89" i="10"/>
  <c r="P89" i="10"/>
  <c r="N90" i="10"/>
  <c r="O90" i="10"/>
  <c r="P90" i="10"/>
  <c r="N91" i="10"/>
  <c r="O91" i="10"/>
  <c r="P91" i="10"/>
  <c r="N92" i="10"/>
  <c r="O92" i="10"/>
  <c r="P92" i="10"/>
  <c r="N93" i="10"/>
  <c r="O93" i="10"/>
  <c r="P93" i="10"/>
  <c r="N94" i="10"/>
  <c r="O94" i="10"/>
  <c r="P94" i="10"/>
  <c r="N95" i="10"/>
  <c r="O95" i="10"/>
  <c r="P95" i="10"/>
  <c r="N96" i="10"/>
  <c r="O96" i="10"/>
  <c r="P96" i="10"/>
  <c r="N97" i="10"/>
  <c r="O97" i="10"/>
  <c r="P97" i="10"/>
  <c r="N98" i="10"/>
  <c r="O98" i="10"/>
  <c r="P98" i="10"/>
  <c r="N99" i="10"/>
  <c r="O99" i="10"/>
  <c r="P99" i="10"/>
  <c r="N100" i="10"/>
  <c r="O100" i="10"/>
  <c r="P100" i="10"/>
  <c r="N101" i="10"/>
  <c r="O101" i="10"/>
  <c r="P101" i="10"/>
  <c r="N102" i="10"/>
  <c r="O102" i="10"/>
  <c r="P102" i="10"/>
  <c r="N103" i="10"/>
  <c r="O103" i="10"/>
  <c r="P103" i="10"/>
  <c r="N104" i="10"/>
  <c r="O104" i="10"/>
  <c r="P104" i="10"/>
  <c r="N105" i="10"/>
  <c r="O105" i="10"/>
  <c r="P105" i="10"/>
  <c r="N106" i="10"/>
  <c r="O106" i="10"/>
  <c r="P106" i="10"/>
  <c r="N107" i="10"/>
  <c r="O107" i="10"/>
  <c r="P107" i="10"/>
  <c r="N108" i="10"/>
  <c r="O108" i="10"/>
  <c r="P108" i="10"/>
  <c r="N109" i="10"/>
  <c r="O109" i="10"/>
  <c r="P109" i="10"/>
  <c r="N110" i="10"/>
  <c r="O110" i="10"/>
  <c r="P110" i="10"/>
  <c r="N111" i="10"/>
  <c r="O111" i="10"/>
  <c r="P111" i="10"/>
  <c r="N112" i="10"/>
  <c r="O112" i="10"/>
  <c r="P112" i="10"/>
  <c r="N113" i="10"/>
  <c r="O113" i="10"/>
  <c r="P113" i="10"/>
  <c r="N114" i="10"/>
  <c r="O114" i="10"/>
  <c r="P114" i="10"/>
  <c r="N115" i="10"/>
  <c r="O115" i="10"/>
  <c r="P115" i="10"/>
  <c r="N116" i="10"/>
  <c r="O116" i="10"/>
  <c r="P116" i="10"/>
  <c r="N117" i="10"/>
  <c r="O117" i="10"/>
  <c r="P117" i="10"/>
  <c r="N118" i="10"/>
  <c r="O118" i="10"/>
  <c r="P118" i="10"/>
  <c r="N119" i="10"/>
  <c r="O119" i="10"/>
  <c r="P119" i="10"/>
  <c r="N120" i="10"/>
  <c r="O120" i="10"/>
  <c r="P120" i="10"/>
  <c r="N121" i="10"/>
  <c r="O121" i="10"/>
  <c r="P121" i="10"/>
  <c r="N122" i="10"/>
  <c r="O122" i="10"/>
  <c r="P122" i="10"/>
  <c r="N123" i="10"/>
  <c r="O123" i="10"/>
  <c r="P123" i="10"/>
  <c r="N124" i="10"/>
  <c r="O124" i="10"/>
  <c r="P124" i="10"/>
  <c r="N125" i="10"/>
  <c r="O125" i="10"/>
  <c r="P125" i="10"/>
  <c r="N126" i="10"/>
  <c r="O126" i="10"/>
  <c r="P126" i="10"/>
  <c r="N53" i="12"/>
  <c r="N54" i="12"/>
  <c r="N55" i="12"/>
  <c r="N56" i="12"/>
  <c r="N57" i="12"/>
  <c r="N58" i="12"/>
  <c r="N59" i="12"/>
  <c r="N60" i="12"/>
  <c r="N61" i="12"/>
  <c r="N62" i="12"/>
  <c r="N63" i="12"/>
  <c r="N64" i="12"/>
  <c r="N65" i="12"/>
  <c r="N66" i="12"/>
  <c r="N67" i="12"/>
  <c r="N68" i="12"/>
  <c r="N69" i="12"/>
  <c r="N70" i="12"/>
  <c r="N71" i="12"/>
  <c r="N72" i="12"/>
  <c r="N73" i="12"/>
  <c r="N74" i="12"/>
  <c r="N75" i="12"/>
  <c r="N76" i="12"/>
  <c r="N77" i="12"/>
  <c r="N78" i="12"/>
  <c r="N79" i="12"/>
  <c r="N80" i="12"/>
  <c r="N81" i="12"/>
  <c r="N82" i="12"/>
  <c r="N83" i="12"/>
  <c r="N84" i="12"/>
  <c r="N85" i="12"/>
  <c r="N86" i="12"/>
  <c r="N87" i="12"/>
  <c r="N88" i="12"/>
  <c r="N89" i="12"/>
  <c r="N90" i="12"/>
  <c r="N91" i="12"/>
  <c r="N92" i="12"/>
  <c r="N93" i="12"/>
  <c r="N94" i="12"/>
  <c r="N95" i="12"/>
  <c r="N96" i="12"/>
  <c r="N97" i="12"/>
  <c r="N98" i="12"/>
  <c r="N99" i="12"/>
  <c r="N100" i="12"/>
  <c r="N101" i="12"/>
  <c r="N102" i="12"/>
  <c r="N103" i="12"/>
  <c r="N104" i="12"/>
  <c r="N105" i="12"/>
  <c r="N106" i="12"/>
  <c r="N107" i="12"/>
  <c r="N108" i="12"/>
  <c r="N109" i="12"/>
  <c r="N110" i="12"/>
  <c r="N111" i="12"/>
  <c r="N112" i="12"/>
  <c r="N113" i="12"/>
  <c r="N114" i="12"/>
  <c r="N115" i="12"/>
  <c r="N116" i="12"/>
  <c r="N117" i="12"/>
  <c r="N118" i="12"/>
  <c r="N119" i="12"/>
  <c r="N120" i="12"/>
  <c r="N121" i="12"/>
  <c r="N122" i="12"/>
  <c r="A111" i="12"/>
  <c r="A112" i="12"/>
  <c r="A113" i="12"/>
  <c r="A114" i="12"/>
  <c r="A115" i="12"/>
  <c r="A116" i="12"/>
  <c r="A117" i="12"/>
  <c r="A118" i="12"/>
  <c r="A119" i="12"/>
  <c r="A120" i="12"/>
  <c r="A121" i="12"/>
  <c r="A122" i="12"/>
  <c r="A98" i="12"/>
  <c r="A99" i="12"/>
  <c r="A100" i="12"/>
  <c r="A101" i="12"/>
  <c r="A102" i="12"/>
  <c r="A103" i="12"/>
  <c r="A104" i="12"/>
  <c r="A105" i="12"/>
  <c r="A106" i="12"/>
  <c r="A107" i="12"/>
  <c r="A108" i="12"/>
  <c r="A109" i="12"/>
  <c r="A110" i="12"/>
  <c r="A86" i="12"/>
  <c r="A87" i="12"/>
  <c r="A88" i="12"/>
  <c r="A89" i="12"/>
  <c r="A90" i="12"/>
  <c r="A91" i="12"/>
  <c r="A92" i="12"/>
  <c r="A93" i="12"/>
  <c r="A94" i="12"/>
  <c r="A95" i="12"/>
  <c r="A96" i="12"/>
  <c r="A97" i="12"/>
  <c r="A74" i="12"/>
  <c r="A75" i="12"/>
  <c r="A76" i="12"/>
  <c r="A77" i="12"/>
  <c r="A78" i="12"/>
  <c r="A79" i="12"/>
  <c r="A80" i="12"/>
  <c r="A81" i="12"/>
  <c r="A82" i="12"/>
  <c r="A83" i="12"/>
  <c r="A84" i="12"/>
  <c r="A85" i="12"/>
  <c r="A63" i="12"/>
  <c r="A64" i="12"/>
  <c r="A65" i="12"/>
  <c r="A66" i="12"/>
  <c r="A67" i="12"/>
  <c r="A68" i="12"/>
  <c r="A69" i="12"/>
  <c r="A70" i="12"/>
  <c r="A71" i="12"/>
  <c r="A72" i="12"/>
  <c r="A73" i="12"/>
  <c r="A53" i="12"/>
  <c r="A54" i="12"/>
  <c r="A55" i="12"/>
  <c r="A56" i="12"/>
  <c r="A57" i="12"/>
  <c r="A58" i="12"/>
  <c r="A59" i="12"/>
  <c r="A60" i="12"/>
  <c r="A61" i="12"/>
  <c r="A62" i="12"/>
  <c r="E99" i="12"/>
  <c r="I101" i="12"/>
  <c r="R104" i="12"/>
  <c r="O107" i="12"/>
  <c r="D108" i="12"/>
  <c r="R110" i="12"/>
  <c r="O111" i="12"/>
  <c r="L112" i="12"/>
  <c r="P113" i="12"/>
  <c r="C115" i="12"/>
  <c r="Q116" i="12"/>
  <c r="R117" i="12"/>
  <c r="L118" i="12"/>
  <c r="L119" i="12"/>
  <c r="P121" i="12"/>
  <c r="E81" i="12"/>
  <c r="R82" i="12"/>
  <c r="O83" i="12"/>
  <c r="I84" i="12"/>
  <c r="P87" i="12"/>
  <c r="B91" i="12"/>
  <c r="E92" i="12"/>
  <c r="C95" i="12"/>
  <c r="O66" i="12"/>
  <c r="I69" i="12"/>
  <c r="B71" i="12"/>
  <c r="I72" i="12"/>
  <c r="B74" i="12"/>
  <c r="D76" i="12"/>
  <c r="O77" i="12"/>
  <c r="I78" i="12"/>
  <c r="L80" i="12"/>
  <c r="C54" i="12"/>
  <c r="O55" i="12"/>
  <c r="B56" i="12"/>
  <c r="D57" i="12"/>
  <c r="B58" i="12"/>
  <c r="Q59" i="12"/>
  <c r="I61" i="12"/>
  <c r="C62" i="12"/>
  <c r="R63" i="12"/>
  <c r="Q64" i="12"/>
  <c r="B14" i="11"/>
  <c r="A8" i="9"/>
  <c r="T125" i="12" l="1"/>
  <c r="T128" i="12"/>
  <c r="T144" i="12"/>
  <c r="T140" i="12"/>
  <c r="T126" i="12"/>
  <c r="T150" i="12"/>
  <c r="G138" i="12"/>
  <c r="G146" i="12"/>
  <c r="T134" i="12"/>
  <c r="T133" i="12"/>
  <c r="T141" i="12"/>
  <c r="T149" i="12"/>
  <c r="T142" i="12"/>
  <c r="T130" i="12"/>
  <c r="T138" i="12"/>
  <c r="T146" i="12"/>
  <c r="T132" i="12"/>
  <c r="T152" i="12"/>
  <c r="G129" i="12"/>
  <c r="T124" i="12"/>
  <c r="T136" i="12"/>
  <c r="T148" i="12"/>
  <c r="G134" i="12"/>
  <c r="G136" i="12"/>
  <c r="G140" i="12"/>
  <c r="G142" i="12"/>
  <c r="G144" i="12"/>
  <c r="G148" i="12"/>
  <c r="G150" i="12"/>
  <c r="G152" i="12"/>
  <c r="T129" i="12"/>
  <c r="T137" i="12"/>
  <c r="T145" i="12"/>
  <c r="G137" i="12"/>
  <c r="F125" i="12"/>
  <c r="G125" i="12" s="1"/>
  <c r="F133" i="12"/>
  <c r="G133" i="12" s="1"/>
  <c r="F141" i="12"/>
  <c r="G141" i="12" s="1"/>
  <c r="S123" i="12"/>
  <c r="T123" i="12" s="1"/>
  <c r="J123" i="12"/>
  <c r="K123" i="12" s="1"/>
  <c r="J127" i="12"/>
  <c r="K127" i="12" s="1"/>
  <c r="S127" i="12"/>
  <c r="T127" i="12" s="1"/>
  <c r="S131" i="12"/>
  <c r="T131" i="12" s="1"/>
  <c r="J131" i="12"/>
  <c r="K131" i="12" s="1"/>
  <c r="J135" i="12"/>
  <c r="K135" i="12" s="1"/>
  <c r="S135" i="12"/>
  <c r="T135" i="12" s="1"/>
  <c r="S139" i="12"/>
  <c r="T139" i="12" s="1"/>
  <c r="J139" i="12"/>
  <c r="K139" i="12" s="1"/>
  <c r="J143" i="12"/>
  <c r="K143" i="12" s="1"/>
  <c r="S143" i="12"/>
  <c r="T143" i="12" s="1"/>
  <c r="S147" i="12"/>
  <c r="T147" i="12" s="1"/>
  <c r="J147" i="12"/>
  <c r="K147" i="12" s="1"/>
  <c r="J151" i="12"/>
  <c r="K151" i="12" s="1"/>
  <c r="S151" i="12"/>
  <c r="T151" i="12" s="1"/>
  <c r="F123" i="12"/>
  <c r="G123" i="12" s="1"/>
  <c r="F127" i="12"/>
  <c r="G127" i="12" s="1"/>
  <c r="F131" i="12"/>
  <c r="G131" i="12" s="1"/>
  <c r="F135" i="12"/>
  <c r="G135" i="12" s="1"/>
  <c r="F139" i="12"/>
  <c r="G139" i="12" s="1"/>
  <c r="F143" i="12"/>
  <c r="G143" i="12" s="1"/>
  <c r="F147" i="12"/>
  <c r="G147" i="12" s="1"/>
  <c r="F151" i="12"/>
  <c r="G151" i="12" s="1"/>
  <c r="F145" i="12"/>
  <c r="G145" i="12" s="1"/>
  <c r="F149" i="12"/>
  <c r="G149" i="12" s="1"/>
  <c r="G124" i="12"/>
  <c r="G126" i="12"/>
  <c r="G128" i="12"/>
  <c r="G130" i="12"/>
  <c r="G132" i="12"/>
  <c r="D120" i="12"/>
  <c r="R121" i="12"/>
  <c r="C121" i="12"/>
  <c r="I121" i="12"/>
  <c r="S121" i="12"/>
  <c r="C108" i="12"/>
  <c r="I108" i="12"/>
  <c r="J108" i="12" s="1"/>
  <c r="K108" i="12" s="1"/>
  <c r="R116" i="12"/>
  <c r="B110" i="12"/>
  <c r="I116" i="12"/>
  <c r="C119" i="12"/>
  <c r="D113" i="12"/>
  <c r="L111" i="12"/>
  <c r="P111" i="12"/>
  <c r="D105" i="12"/>
  <c r="C117" i="12"/>
  <c r="D111" i="12"/>
  <c r="O119" i="12"/>
  <c r="P109" i="12"/>
  <c r="D109" i="12"/>
  <c r="E105" i="12"/>
  <c r="B105" i="12"/>
  <c r="B119" i="12"/>
  <c r="E118" i="12"/>
  <c r="D117" i="12"/>
  <c r="C113" i="12"/>
  <c r="C111" i="12"/>
  <c r="I117" i="12"/>
  <c r="L115" i="12"/>
  <c r="L107" i="12"/>
  <c r="P119" i="12"/>
  <c r="R109" i="12"/>
  <c r="C60" i="12"/>
  <c r="C58" i="12"/>
  <c r="E56" i="12"/>
  <c r="C55" i="12"/>
  <c r="E72" i="12"/>
  <c r="C72" i="12"/>
  <c r="C69" i="12"/>
  <c r="E68" i="12"/>
  <c r="C68" i="12"/>
  <c r="C67" i="12"/>
  <c r="E64" i="12"/>
  <c r="C64" i="12"/>
  <c r="E84" i="12"/>
  <c r="D83" i="12"/>
  <c r="C80" i="12"/>
  <c r="C78" i="12"/>
  <c r="D75" i="12"/>
  <c r="E74" i="12"/>
  <c r="D97" i="12"/>
  <c r="B97" i="12"/>
  <c r="D95" i="12"/>
  <c r="B95" i="12"/>
  <c r="D94" i="12"/>
  <c r="C93" i="12"/>
  <c r="B92" i="12"/>
  <c r="B89" i="12"/>
  <c r="C87" i="12"/>
  <c r="E102" i="12"/>
  <c r="B102" i="12"/>
  <c r="D101" i="12"/>
  <c r="B101" i="12"/>
  <c r="L103" i="12"/>
  <c r="I102" i="12"/>
  <c r="J102" i="12" s="1"/>
  <c r="K102" i="12" s="1"/>
  <c r="L95" i="12"/>
  <c r="L82" i="12"/>
  <c r="J78" i="12"/>
  <c r="K78" i="12" s="1"/>
  <c r="L71" i="12"/>
  <c r="I64" i="12"/>
  <c r="L58" i="12"/>
  <c r="S101" i="12"/>
  <c r="P97" i="12"/>
  <c r="P92" i="12"/>
  <c r="O91" i="12"/>
  <c r="O87" i="12"/>
  <c r="R84" i="12"/>
  <c r="P80" i="12"/>
  <c r="Q76" i="12"/>
  <c r="Q72" i="12"/>
  <c r="O70" i="12"/>
  <c r="O69" i="12"/>
  <c r="Q58" i="12"/>
  <c r="B62" i="12"/>
  <c r="E60" i="12"/>
  <c r="B60" i="12"/>
  <c r="E57" i="12"/>
  <c r="C56" i="12"/>
  <c r="E55" i="12"/>
  <c r="F72" i="12"/>
  <c r="D72" i="12"/>
  <c r="E70" i="12"/>
  <c r="F69" i="12"/>
  <c r="D68" i="12"/>
  <c r="B67" i="12"/>
  <c r="E66" i="12"/>
  <c r="D64" i="12"/>
  <c r="E85" i="12"/>
  <c r="F84" i="12"/>
  <c r="C84" i="12"/>
  <c r="E83" i="12"/>
  <c r="C83" i="12"/>
  <c r="B82" i="12"/>
  <c r="E80" i="12"/>
  <c r="B80" i="12"/>
  <c r="B78" i="12"/>
  <c r="B76" i="12"/>
  <c r="E97" i="12"/>
  <c r="C97" i="12"/>
  <c r="B94" i="12"/>
  <c r="D93" i="12"/>
  <c r="B93" i="12"/>
  <c r="D91" i="12"/>
  <c r="B90" i="12"/>
  <c r="D89" i="12"/>
  <c r="B87" i="12"/>
  <c r="E103" i="12"/>
  <c r="D102" i="12"/>
  <c r="C101" i="12"/>
  <c r="L102" i="12"/>
  <c r="L99" i="12"/>
  <c r="L90" i="12"/>
  <c r="I85" i="12"/>
  <c r="J85" i="12" s="1"/>
  <c r="K85" i="12" s="1"/>
  <c r="L66" i="12"/>
  <c r="I56" i="12"/>
  <c r="F56" i="12" s="1"/>
  <c r="P103" i="12"/>
  <c r="R101" i="12"/>
  <c r="R93" i="12"/>
  <c r="Q92" i="12"/>
  <c r="Q84" i="12"/>
  <c r="P74" i="12"/>
  <c r="P70" i="12"/>
  <c r="O57" i="12"/>
  <c r="Q56" i="12"/>
  <c r="Q55" i="12"/>
  <c r="E69" i="12"/>
  <c r="J69" i="12"/>
  <c r="K69" i="12" s="1"/>
  <c r="P53" i="12"/>
  <c r="Q53" i="12"/>
  <c r="R53" i="12"/>
  <c r="B53" i="12"/>
  <c r="C53" i="12"/>
  <c r="I53" i="12"/>
  <c r="F53" i="12" s="1"/>
  <c r="D53" i="12"/>
  <c r="L53" i="12"/>
  <c r="P65" i="12"/>
  <c r="Q65" i="12"/>
  <c r="I65" i="12"/>
  <c r="F65" i="12" s="1"/>
  <c r="R65" i="12"/>
  <c r="J65" i="12"/>
  <c r="K65" i="12" s="1"/>
  <c r="B65" i="12"/>
  <c r="O65" i="12"/>
  <c r="D65" i="12"/>
  <c r="S65" i="12"/>
  <c r="O114" i="12"/>
  <c r="C114" i="12"/>
  <c r="P114" i="12"/>
  <c r="I114" i="12"/>
  <c r="S114" i="12" s="1"/>
  <c r="D114" i="12"/>
  <c r="Q114" i="12"/>
  <c r="B114" i="12"/>
  <c r="E114" i="12"/>
  <c r="O98" i="12"/>
  <c r="E98" i="12"/>
  <c r="P98" i="12"/>
  <c r="I98" i="12"/>
  <c r="F98" i="12" s="1"/>
  <c r="Q98" i="12"/>
  <c r="S98" i="12"/>
  <c r="C98" i="12"/>
  <c r="D98" i="12"/>
  <c r="R98" i="12"/>
  <c r="J98" i="12"/>
  <c r="K98" i="12" s="1"/>
  <c r="J61" i="12"/>
  <c r="K61" i="12" s="1"/>
  <c r="R114" i="12"/>
  <c r="Q79" i="12"/>
  <c r="I79" i="12"/>
  <c r="S79" i="12" s="1"/>
  <c r="R79" i="12"/>
  <c r="J79" i="12"/>
  <c r="K79" i="12" s="1"/>
  <c r="L79" i="12"/>
  <c r="O79" i="12"/>
  <c r="B79" i="12"/>
  <c r="P79" i="12"/>
  <c r="O120" i="12"/>
  <c r="C120" i="12"/>
  <c r="P120" i="12"/>
  <c r="Q120" i="12"/>
  <c r="B120" i="12"/>
  <c r="E120" i="12"/>
  <c r="L98" i="12"/>
  <c r="I71" i="12"/>
  <c r="R59" i="12"/>
  <c r="D55" i="12"/>
  <c r="C82" i="12"/>
  <c r="C89" i="12"/>
  <c r="B107" i="12"/>
  <c r="E116" i="12"/>
  <c r="L114" i="12"/>
  <c r="I89" i="12"/>
  <c r="S89" i="12" s="1"/>
  <c r="P73" i="12"/>
  <c r="Q73" i="12"/>
  <c r="I73" i="12"/>
  <c r="F73" i="12" s="1"/>
  <c r="R73" i="12"/>
  <c r="J73" i="12"/>
  <c r="K73" i="12" s="1"/>
  <c r="L73" i="12"/>
  <c r="O73" i="12"/>
  <c r="B73" i="12"/>
  <c r="S73" i="12"/>
  <c r="D73" i="12"/>
  <c r="O122" i="12"/>
  <c r="C122" i="12"/>
  <c r="P122" i="12"/>
  <c r="I122" i="12"/>
  <c r="F122" i="12" s="1"/>
  <c r="D122" i="12"/>
  <c r="Q122" i="12"/>
  <c r="R122" i="12"/>
  <c r="L122" i="12"/>
  <c r="E122" i="12"/>
  <c r="O106" i="12"/>
  <c r="P106" i="12"/>
  <c r="I106" i="12"/>
  <c r="J106" i="12" s="1"/>
  <c r="K106" i="12" s="1"/>
  <c r="Q106" i="12"/>
  <c r="S106" i="12"/>
  <c r="B106" i="12"/>
  <c r="C106" i="12"/>
  <c r="L106" i="12"/>
  <c r="E106" i="12"/>
  <c r="R106" i="12"/>
  <c r="C65" i="12"/>
  <c r="O53" i="12"/>
  <c r="B98" i="12"/>
  <c r="L59" i="12"/>
  <c r="P59" i="12"/>
  <c r="I59" i="12"/>
  <c r="J59" i="12" s="1"/>
  <c r="K59" i="12" s="1"/>
  <c r="B59" i="12"/>
  <c r="O59" i="12"/>
  <c r="O104" i="12"/>
  <c r="E104" i="12"/>
  <c r="L104" i="12"/>
  <c r="D104" i="12"/>
  <c r="P104" i="12"/>
  <c r="L86" i="12"/>
  <c r="E59" i="12"/>
  <c r="C73" i="12"/>
  <c r="E79" i="12"/>
  <c r="D74" i="12"/>
  <c r="E86" i="12"/>
  <c r="F106" i="12"/>
  <c r="C104" i="12"/>
  <c r="D115" i="12"/>
  <c r="L120" i="12"/>
  <c r="I112" i="12"/>
  <c r="S112" i="12" s="1"/>
  <c r="L94" i="12"/>
  <c r="L55" i="12"/>
  <c r="R120" i="12"/>
  <c r="P112" i="12"/>
  <c r="P99" i="12"/>
  <c r="P61" i="12"/>
  <c r="Q61" i="12"/>
  <c r="R61" i="12"/>
  <c r="L61" i="12"/>
  <c r="B61" i="12"/>
  <c r="C61" i="12"/>
  <c r="D61" i="12"/>
  <c r="F61" i="12"/>
  <c r="O61" i="12"/>
  <c r="E53" i="12"/>
  <c r="P71" i="12"/>
  <c r="J71" i="12"/>
  <c r="K71" i="12" s="1"/>
  <c r="D71" i="12"/>
  <c r="E71" i="12"/>
  <c r="O71" i="12"/>
  <c r="F71" i="12"/>
  <c r="Q71" i="12"/>
  <c r="R71" i="12"/>
  <c r="S71" i="12"/>
  <c r="O86" i="12"/>
  <c r="P86" i="12"/>
  <c r="Q86" i="12"/>
  <c r="C86" i="12"/>
  <c r="R86" i="12"/>
  <c r="O96" i="12"/>
  <c r="I96" i="12"/>
  <c r="S96" i="12" s="1"/>
  <c r="C96" i="12"/>
  <c r="L96" i="12"/>
  <c r="D96" i="12"/>
  <c r="P96" i="12"/>
  <c r="E96" i="12"/>
  <c r="Q96" i="12"/>
  <c r="R96" i="12"/>
  <c r="E73" i="12"/>
  <c r="B122" i="12"/>
  <c r="I104" i="12"/>
  <c r="S104" i="12" s="1"/>
  <c r="Q104" i="12"/>
  <c r="P63" i="12"/>
  <c r="D63" i="12"/>
  <c r="I63" i="12"/>
  <c r="S63" i="12" s="1"/>
  <c r="E63" i="12"/>
  <c r="L63" i="12"/>
  <c r="O63" i="12"/>
  <c r="Q63" i="12"/>
  <c r="P55" i="12"/>
  <c r="R55" i="12"/>
  <c r="B55" i="12"/>
  <c r="L75" i="12"/>
  <c r="P75" i="12"/>
  <c r="O75" i="12"/>
  <c r="B75" i="12"/>
  <c r="Q75" i="12"/>
  <c r="C75" i="12"/>
  <c r="R75" i="12"/>
  <c r="I75" i="12"/>
  <c r="F75" i="12" s="1"/>
  <c r="E75" i="12"/>
  <c r="L67" i="12"/>
  <c r="P67" i="12"/>
  <c r="I67" i="12"/>
  <c r="S67" i="12" s="1"/>
  <c r="D67" i="12"/>
  <c r="E67" i="12"/>
  <c r="O67" i="12"/>
  <c r="F67" i="12"/>
  <c r="Q67" i="12"/>
  <c r="R67" i="12"/>
  <c r="O90" i="12"/>
  <c r="P90" i="12"/>
  <c r="I90" i="12"/>
  <c r="F90" i="12" s="1"/>
  <c r="Q90" i="12"/>
  <c r="S90" i="12"/>
  <c r="R90" i="12"/>
  <c r="C90" i="12"/>
  <c r="O82" i="12"/>
  <c r="P82" i="12"/>
  <c r="I82" i="12"/>
  <c r="J82" i="12" s="1"/>
  <c r="K82" i="12" s="1"/>
  <c r="Q82" i="12"/>
  <c r="S82" i="12"/>
  <c r="D82" i="12"/>
  <c r="E82" i="12"/>
  <c r="S116" i="12"/>
  <c r="J116" i="12"/>
  <c r="K116" i="12" s="1"/>
  <c r="L116" i="12"/>
  <c r="O116" i="12"/>
  <c r="C116" i="12"/>
  <c r="B116" i="12"/>
  <c r="D116" i="12"/>
  <c r="P116" i="12"/>
  <c r="F116" i="12"/>
  <c r="S108" i="12"/>
  <c r="L108" i="12"/>
  <c r="O108" i="12"/>
  <c r="E108" i="12"/>
  <c r="P108" i="12"/>
  <c r="Q108" i="12"/>
  <c r="R108" i="12"/>
  <c r="B108" i="12"/>
  <c r="L100" i="12"/>
  <c r="O100" i="12"/>
  <c r="E100" i="12"/>
  <c r="P100" i="12"/>
  <c r="I100" i="12"/>
  <c r="F100" i="12" s="1"/>
  <c r="B100" i="12"/>
  <c r="Q100" i="12"/>
  <c r="C100" i="12"/>
  <c r="R100" i="12"/>
  <c r="D100" i="12"/>
  <c r="E61" i="12"/>
  <c r="D59" i="12"/>
  <c r="C63" i="12"/>
  <c r="D79" i="12"/>
  <c r="F96" i="12"/>
  <c r="E90" i="12"/>
  <c r="D86" i="12"/>
  <c r="D106" i="12"/>
  <c r="B104" i="12"/>
  <c r="I120" i="12"/>
  <c r="F120" i="12" s="1"/>
  <c r="I86" i="12"/>
  <c r="J86" i="12" s="1"/>
  <c r="K86" i="12" s="1"/>
  <c r="L65" i="12"/>
  <c r="I55" i="12"/>
  <c r="S55" i="12" s="1"/>
  <c r="S61" i="12"/>
  <c r="O88" i="12"/>
  <c r="C88" i="12"/>
  <c r="P88" i="12"/>
  <c r="I88" i="12"/>
  <c r="S88" i="12" s="1"/>
  <c r="D88" i="12"/>
  <c r="Q88" i="12"/>
  <c r="L88" i="12"/>
  <c r="E88" i="12"/>
  <c r="R88" i="12"/>
  <c r="O94" i="12"/>
  <c r="P94" i="12"/>
  <c r="Q94" i="12"/>
  <c r="I94" i="12"/>
  <c r="F94" i="12" s="1"/>
  <c r="C94" i="12"/>
  <c r="O112" i="12"/>
  <c r="C112" i="12"/>
  <c r="Q112" i="12"/>
  <c r="B112" i="12"/>
  <c r="R112" i="12"/>
  <c r="D112" i="12"/>
  <c r="E112" i="12"/>
  <c r="C71" i="12"/>
  <c r="R94" i="12"/>
  <c r="R62" i="12"/>
  <c r="I62" i="12"/>
  <c r="S62" i="12" s="1"/>
  <c r="L62" i="12"/>
  <c r="O62" i="12"/>
  <c r="D62" i="12"/>
  <c r="P62" i="12"/>
  <c r="E62" i="12"/>
  <c r="Q62" i="12"/>
  <c r="R54" i="12"/>
  <c r="I54" i="12"/>
  <c r="S54" i="12" s="1"/>
  <c r="J54" i="12"/>
  <c r="K54" i="12" s="1"/>
  <c r="L54" i="12"/>
  <c r="D54" i="12"/>
  <c r="E54" i="12"/>
  <c r="O54" i="12"/>
  <c r="P54" i="12"/>
  <c r="Q54" i="12"/>
  <c r="R74" i="12"/>
  <c r="I74" i="12"/>
  <c r="F74" i="12" s="1"/>
  <c r="C74" i="12"/>
  <c r="O74" i="12"/>
  <c r="R66" i="12"/>
  <c r="I66" i="12"/>
  <c r="S66" i="12" s="1"/>
  <c r="P66" i="12"/>
  <c r="B66" i="12"/>
  <c r="Q66" i="12"/>
  <c r="C66" i="12"/>
  <c r="D66" i="12"/>
  <c r="F66" i="12"/>
  <c r="L89" i="12"/>
  <c r="O89" i="12"/>
  <c r="Q89" i="12"/>
  <c r="E89" i="12"/>
  <c r="F89" i="12"/>
  <c r="J89" i="12"/>
  <c r="K89" i="12" s="1"/>
  <c r="P89" i="12"/>
  <c r="L81" i="12"/>
  <c r="O81" i="12"/>
  <c r="Q81" i="12"/>
  <c r="B81" i="12"/>
  <c r="C81" i="12"/>
  <c r="D81" i="12"/>
  <c r="P81" i="12"/>
  <c r="R81" i="12"/>
  <c r="I81" i="12"/>
  <c r="J81" i="12" s="1"/>
  <c r="K81" i="12" s="1"/>
  <c r="Q115" i="12"/>
  <c r="E115" i="12"/>
  <c r="R115" i="12"/>
  <c r="I115" i="12"/>
  <c r="S115" i="12" s="1"/>
  <c r="O115" i="12"/>
  <c r="P115" i="12"/>
  <c r="Q107" i="12"/>
  <c r="R107" i="12"/>
  <c r="I107" i="12"/>
  <c r="J107" i="12" s="1"/>
  <c r="K107" i="12" s="1"/>
  <c r="C107" i="12"/>
  <c r="P107" i="12"/>
  <c r="D107" i="12"/>
  <c r="E107" i="12"/>
  <c r="Q99" i="12"/>
  <c r="R99" i="12"/>
  <c r="I99" i="12"/>
  <c r="F99" i="12" s="1"/>
  <c r="C99" i="12"/>
  <c r="D99" i="12"/>
  <c r="O99" i="12"/>
  <c r="C59" i="12"/>
  <c r="B54" i="12"/>
  <c r="E65" i="12"/>
  <c r="B63" i="12"/>
  <c r="C79" i="12"/>
  <c r="B96" i="12"/>
  <c r="E94" i="12"/>
  <c r="D90" i="12"/>
  <c r="B88" i="12"/>
  <c r="B86" i="12"/>
  <c r="F108" i="12"/>
  <c r="B99" i="12"/>
  <c r="B115" i="12"/>
  <c r="L74" i="12"/>
  <c r="J53" i="12"/>
  <c r="K53" i="12" s="1"/>
  <c r="R89" i="12"/>
  <c r="Q74" i="12"/>
  <c r="O60" i="12"/>
  <c r="P60" i="12"/>
  <c r="I60" i="12"/>
  <c r="S60" i="12" s="1"/>
  <c r="R60" i="12"/>
  <c r="L60" i="12"/>
  <c r="O80" i="12"/>
  <c r="L72" i="12"/>
  <c r="O72" i="12"/>
  <c r="P72" i="12"/>
  <c r="R72" i="12"/>
  <c r="Q95" i="12"/>
  <c r="I95" i="12"/>
  <c r="F95" i="12" s="1"/>
  <c r="R95" i="12"/>
  <c r="J95" i="12"/>
  <c r="K95" i="12" s="1"/>
  <c r="Q87" i="12"/>
  <c r="I87" i="12"/>
  <c r="F87" i="12" s="1"/>
  <c r="R87" i="12"/>
  <c r="J87" i="12"/>
  <c r="K87" i="12" s="1"/>
  <c r="S87" i="12"/>
  <c r="E87" i="12"/>
  <c r="L121" i="12"/>
  <c r="B121" i="12"/>
  <c r="O121" i="12"/>
  <c r="Q121" i="12"/>
  <c r="E121" i="12"/>
  <c r="L113" i="12"/>
  <c r="B113" i="12"/>
  <c r="O113" i="12"/>
  <c r="Q113" i="12"/>
  <c r="E113" i="12"/>
  <c r="L105" i="12"/>
  <c r="O105" i="12"/>
  <c r="Q105" i="12"/>
  <c r="L97" i="12"/>
  <c r="O97" i="12"/>
  <c r="Q97" i="12"/>
  <c r="D60" i="12"/>
  <c r="D56" i="12"/>
  <c r="B72" i="12"/>
  <c r="D69" i="12"/>
  <c r="B68" i="12"/>
  <c r="B64" i="12"/>
  <c r="F85" i="12"/>
  <c r="D84" i="12"/>
  <c r="B83" i="12"/>
  <c r="D80" i="12"/>
  <c r="E95" i="12"/>
  <c r="E91" i="12"/>
  <c r="D87" i="12"/>
  <c r="E109" i="12"/>
  <c r="C105" i="12"/>
  <c r="C102" i="12"/>
  <c r="B111" i="12"/>
  <c r="L110" i="12"/>
  <c r="L69" i="12"/>
  <c r="J64" i="12"/>
  <c r="K64" i="12" s="1"/>
  <c r="R118" i="12"/>
  <c r="R113" i="12"/>
  <c r="P101" i="12"/>
  <c r="P91" i="12"/>
  <c r="P84" i="12"/>
  <c r="S69" i="12"/>
  <c r="S56" i="12"/>
  <c r="R58" i="12"/>
  <c r="I58" i="12"/>
  <c r="S58" i="12" s="1"/>
  <c r="O78" i="12"/>
  <c r="P78" i="12"/>
  <c r="Q78" i="12"/>
  <c r="S78" i="12"/>
  <c r="R70" i="12"/>
  <c r="I70" i="12"/>
  <c r="F70" i="12" s="1"/>
  <c r="L70" i="12"/>
  <c r="O93" i="12"/>
  <c r="Q93" i="12"/>
  <c r="L93" i="12"/>
  <c r="O85" i="12"/>
  <c r="Q85" i="12"/>
  <c r="L85" i="12"/>
  <c r="Q119" i="12"/>
  <c r="I119" i="12"/>
  <c r="E119" i="12"/>
  <c r="R119" i="12"/>
  <c r="J119" i="12"/>
  <c r="K119" i="12" s="1"/>
  <c r="F119" i="12"/>
  <c r="S119" i="12"/>
  <c r="Q111" i="12"/>
  <c r="I111" i="12"/>
  <c r="J111" i="12" s="1"/>
  <c r="K111" i="12" s="1"/>
  <c r="E111" i="12"/>
  <c r="R111" i="12"/>
  <c r="Q103" i="12"/>
  <c r="I103" i="12"/>
  <c r="F103" i="12" s="1"/>
  <c r="R103" i="12"/>
  <c r="J103" i="12"/>
  <c r="K103" i="12" s="1"/>
  <c r="S103" i="12"/>
  <c r="C103" i="12"/>
  <c r="F58" i="12"/>
  <c r="D70" i="12"/>
  <c r="B69" i="12"/>
  <c r="D85" i="12"/>
  <c r="B84" i="12"/>
  <c r="F78" i="12"/>
  <c r="E76" i="12"/>
  <c r="C91" i="12"/>
  <c r="E110" i="12"/>
  <c r="C109" i="12"/>
  <c r="D103" i="12"/>
  <c r="B118" i="12"/>
  <c r="I110" i="12"/>
  <c r="F110" i="12" s="1"/>
  <c r="J101" i="12"/>
  <c r="K101" i="12" s="1"/>
  <c r="I97" i="12"/>
  <c r="F97" i="12" s="1"/>
  <c r="I93" i="12"/>
  <c r="J93" i="12" s="1"/>
  <c r="K93" i="12" s="1"/>
  <c r="I80" i="12"/>
  <c r="F80" i="12" s="1"/>
  <c r="S117" i="12"/>
  <c r="R105" i="12"/>
  <c r="O103" i="12"/>
  <c r="P93" i="12"/>
  <c r="S85" i="12"/>
  <c r="P83" i="12"/>
  <c r="R78" i="12"/>
  <c r="S64" i="12"/>
  <c r="Q60" i="12"/>
  <c r="P58" i="12"/>
  <c r="P57" i="12"/>
  <c r="Q57" i="12"/>
  <c r="I57" i="12"/>
  <c r="S57" i="12" s="1"/>
  <c r="R57" i="12"/>
  <c r="J57" i="12"/>
  <c r="K57" i="12" s="1"/>
  <c r="P69" i="12"/>
  <c r="Q69" i="12"/>
  <c r="R69" i="12"/>
  <c r="L92" i="12"/>
  <c r="O92" i="12"/>
  <c r="S84" i="12"/>
  <c r="J84" i="12"/>
  <c r="K84" i="12" s="1"/>
  <c r="L84" i="12"/>
  <c r="O84" i="12"/>
  <c r="O118" i="12"/>
  <c r="C118" i="12"/>
  <c r="P118" i="12"/>
  <c r="D118" i="12"/>
  <c r="Q118" i="12"/>
  <c r="O110" i="12"/>
  <c r="P110" i="12"/>
  <c r="Q110" i="12"/>
  <c r="S110" i="12"/>
  <c r="O102" i="12"/>
  <c r="P102" i="12"/>
  <c r="Q102" i="12"/>
  <c r="S102" i="12"/>
  <c r="E58" i="12"/>
  <c r="C57" i="12"/>
  <c r="C70" i="12"/>
  <c r="C85" i="12"/>
  <c r="E78" i="12"/>
  <c r="F93" i="12"/>
  <c r="D92" i="12"/>
  <c r="D110" i="12"/>
  <c r="B109" i="12"/>
  <c r="B103" i="12"/>
  <c r="F101" i="12"/>
  <c r="F121" i="12"/>
  <c r="I118" i="12"/>
  <c r="J118" i="12" s="1"/>
  <c r="K118" i="12" s="1"/>
  <c r="I105" i="12"/>
  <c r="F105" i="12" s="1"/>
  <c r="I92" i="12"/>
  <c r="F92" i="12" s="1"/>
  <c r="L83" i="12"/>
  <c r="L57" i="12"/>
  <c r="P105" i="12"/>
  <c r="P95" i="12"/>
  <c r="R85" i="12"/>
  <c r="R80" i="12"/>
  <c r="O58" i="12"/>
  <c r="L64" i="12"/>
  <c r="O64" i="12"/>
  <c r="P64" i="12"/>
  <c r="R64" i="12"/>
  <c r="L56" i="12"/>
  <c r="O56" i="12"/>
  <c r="P56" i="12"/>
  <c r="R56" i="12"/>
  <c r="O76" i="12"/>
  <c r="P76" i="12"/>
  <c r="I76" i="12"/>
  <c r="J76" i="12" s="1"/>
  <c r="K76" i="12" s="1"/>
  <c r="R76" i="12"/>
  <c r="L76" i="12"/>
  <c r="O68" i="12"/>
  <c r="P68" i="12"/>
  <c r="I68" i="12"/>
  <c r="S68" i="12" s="1"/>
  <c r="R68" i="12"/>
  <c r="L68" i="12"/>
  <c r="Q91" i="12"/>
  <c r="R91" i="12"/>
  <c r="I91" i="12"/>
  <c r="F91" i="12" s="1"/>
  <c r="Q83" i="12"/>
  <c r="R83" i="12"/>
  <c r="I83" i="12"/>
  <c r="S83" i="12" s="1"/>
  <c r="B117" i="12"/>
  <c r="O117" i="12"/>
  <c r="Q117" i="12"/>
  <c r="L117" i="12"/>
  <c r="E117" i="12"/>
  <c r="O109" i="12"/>
  <c r="Q109" i="12"/>
  <c r="L109" i="12"/>
  <c r="O101" i="12"/>
  <c r="Q101" i="12"/>
  <c r="L101" i="12"/>
  <c r="D58" i="12"/>
  <c r="B57" i="12"/>
  <c r="B70" i="12"/>
  <c r="F68" i="12"/>
  <c r="F64" i="12"/>
  <c r="B85" i="12"/>
  <c r="F83" i="12"/>
  <c r="D78" i="12"/>
  <c r="C76" i="12"/>
  <c r="E93" i="12"/>
  <c r="C92" i="12"/>
  <c r="C110" i="12"/>
  <c r="E101" i="12"/>
  <c r="D121" i="12"/>
  <c r="D119" i="12"/>
  <c r="F117" i="12"/>
  <c r="J121" i="12"/>
  <c r="K121" i="12" s="1"/>
  <c r="J117" i="12"/>
  <c r="K117" i="12" s="1"/>
  <c r="I113" i="12"/>
  <c r="S113" i="12" s="1"/>
  <c r="I109" i="12"/>
  <c r="J109" i="12" s="1"/>
  <c r="K109" i="12" s="1"/>
  <c r="L91" i="12"/>
  <c r="L87" i="12"/>
  <c r="J83" i="12"/>
  <c r="K83" i="12" s="1"/>
  <c r="L78" i="12"/>
  <c r="J72" i="12"/>
  <c r="K72" i="12" s="1"/>
  <c r="J56" i="12"/>
  <c r="K56" i="12" s="1"/>
  <c r="P117" i="12"/>
  <c r="S109" i="12"/>
  <c r="R102" i="12"/>
  <c r="R97" i="12"/>
  <c r="O95" i="12"/>
  <c r="R92" i="12"/>
  <c r="P85" i="12"/>
  <c r="Q80" i="12"/>
  <c r="S72" i="12"/>
  <c r="Q70" i="12"/>
  <c r="Q68" i="12"/>
  <c r="D77" i="12"/>
  <c r="B77" i="12"/>
  <c r="I77" i="12"/>
  <c r="F77" i="12" s="1"/>
  <c r="R77" i="12"/>
  <c r="P77" i="12"/>
  <c r="E77" i="12"/>
  <c r="C77" i="12"/>
  <c r="L77" i="12"/>
  <c r="J77" i="12"/>
  <c r="K77" i="12" s="1"/>
  <c r="Q77" i="12"/>
  <c r="D12" i="9"/>
  <c r="C6" i="11"/>
  <c r="G71" i="12" l="1"/>
  <c r="S97" i="12"/>
  <c r="T97" i="12" s="1"/>
  <c r="J58" i="12"/>
  <c r="K58" i="12" s="1"/>
  <c r="F111" i="12"/>
  <c r="G111" i="12" s="1"/>
  <c r="F112" i="12"/>
  <c r="G112" i="12" s="1"/>
  <c r="F107" i="12"/>
  <c r="G107" i="12" s="1"/>
  <c r="J115" i="12"/>
  <c r="K115" i="12" s="1"/>
  <c r="J112" i="12"/>
  <c r="K112" i="12" s="1"/>
  <c r="F114" i="12"/>
  <c r="F79" i="12"/>
  <c r="G79" i="12" s="1"/>
  <c r="J114" i="12"/>
  <c r="K114" i="12" s="1"/>
  <c r="F102" i="12"/>
  <c r="G102" i="12" s="1"/>
  <c r="S77" i="12"/>
  <c r="T77" i="12" s="1"/>
  <c r="S111" i="12"/>
  <c r="T111" i="12" s="1"/>
  <c r="S95" i="12"/>
  <c r="T95" i="12" s="1"/>
  <c r="J74" i="12"/>
  <c r="K74" i="12" s="1"/>
  <c r="F62" i="12"/>
  <c r="G62" i="12" s="1"/>
  <c r="F82" i="12"/>
  <c r="G82" i="12" s="1"/>
  <c r="J67" i="12"/>
  <c r="K67" i="12" s="1"/>
  <c r="J122" i="12"/>
  <c r="K122" i="12" s="1"/>
  <c r="S122" i="12"/>
  <c r="T122" i="12" s="1"/>
  <c r="J120" i="12"/>
  <c r="K120" i="12" s="1"/>
  <c r="S120" i="12"/>
  <c r="T120" i="12" s="1"/>
  <c r="G106" i="12"/>
  <c r="G61" i="12"/>
  <c r="G117" i="12"/>
  <c r="G93" i="12"/>
  <c r="G105" i="12"/>
  <c r="G97" i="12"/>
  <c r="G72" i="12"/>
  <c r="G91" i="12"/>
  <c r="G84" i="12"/>
  <c r="T119" i="12"/>
  <c r="G96" i="12"/>
  <c r="G89" i="12"/>
  <c r="T79" i="12"/>
  <c r="G64" i="12"/>
  <c r="G58" i="12"/>
  <c r="T55" i="12"/>
  <c r="G122" i="12"/>
  <c r="G120" i="12"/>
  <c r="T121" i="12"/>
  <c r="G101" i="12"/>
  <c r="G83" i="12"/>
  <c r="J88" i="12"/>
  <c r="K88" i="12" s="1"/>
  <c r="T54" i="12"/>
  <c r="J70" i="12"/>
  <c r="K70" i="12" s="1"/>
  <c r="S81" i="12"/>
  <c r="T81" i="12" s="1"/>
  <c r="F54" i="12"/>
  <c r="G54" i="12" s="1"/>
  <c r="J62" i="12"/>
  <c r="K62" i="12" s="1"/>
  <c r="F63" i="12"/>
  <c r="G63" i="12" s="1"/>
  <c r="G74" i="12"/>
  <c r="G56" i="12"/>
  <c r="T109" i="12"/>
  <c r="G108" i="12"/>
  <c r="G90" i="12"/>
  <c r="S91" i="12"/>
  <c r="T91" i="12" s="1"/>
  <c r="J68" i="12"/>
  <c r="K68" i="12" s="1"/>
  <c r="J113" i="12"/>
  <c r="K113" i="12" s="1"/>
  <c r="S118" i="12"/>
  <c r="T118" i="12" s="1"/>
  <c r="J92" i="12"/>
  <c r="K92" i="12" s="1"/>
  <c r="G110" i="12"/>
  <c r="F118" i="12"/>
  <c r="G118" i="12" s="1"/>
  <c r="G87" i="12"/>
  <c r="G95" i="12"/>
  <c r="F57" i="12"/>
  <c r="G57" i="12" s="1"/>
  <c r="T113" i="12"/>
  <c r="G94" i="12"/>
  <c r="S107" i="12"/>
  <c r="T107" i="12" s="1"/>
  <c r="F115" i="12"/>
  <c r="G115" i="12" s="1"/>
  <c r="S94" i="12"/>
  <c r="T94" i="12" s="1"/>
  <c r="J100" i="12"/>
  <c r="K100" i="12" s="1"/>
  <c r="F55" i="12"/>
  <c r="G55" i="12" s="1"/>
  <c r="J55" i="12"/>
  <c r="K55" i="12" s="1"/>
  <c r="J66" i="12"/>
  <c r="K66" i="12" s="1"/>
  <c r="S59" i="12"/>
  <c r="T59" i="12" s="1"/>
  <c r="J60" i="12"/>
  <c r="K60" i="12" s="1"/>
  <c r="J91" i="12"/>
  <c r="K91" i="12" s="1"/>
  <c r="J99" i="12"/>
  <c r="K99" i="12" s="1"/>
  <c r="F76" i="12"/>
  <c r="G76" i="12" s="1"/>
  <c r="F60" i="12"/>
  <c r="G60" i="12" s="1"/>
  <c r="J110" i="12"/>
  <c r="K110" i="12" s="1"/>
  <c r="F88" i="12"/>
  <c r="G88" i="12" s="1"/>
  <c r="J94" i="12"/>
  <c r="K94" i="12" s="1"/>
  <c r="F109" i="12"/>
  <c r="G109" i="12" s="1"/>
  <c r="J97" i="12"/>
  <c r="K97" i="12" s="1"/>
  <c r="S93" i="12"/>
  <c r="S105" i="12"/>
  <c r="T105" i="12" s="1"/>
  <c r="S92" i="12"/>
  <c r="T92" i="12" s="1"/>
  <c r="J105" i="12"/>
  <c r="K105" i="12" s="1"/>
  <c r="G119" i="12"/>
  <c r="S70" i="12"/>
  <c r="T70" i="12" s="1"/>
  <c r="G80" i="12"/>
  <c r="J80" i="12"/>
  <c r="K80" i="12" s="1"/>
  <c r="S80" i="12"/>
  <c r="T80" i="12" s="1"/>
  <c r="G99" i="12"/>
  <c r="S99" i="12"/>
  <c r="T99" i="12" s="1"/>
  <c r="F81" i="12"/>
  <c r="G81" i="12" s="1"/>
  <c r="S74" i="12"/>
  <c r="T74" i="12" s="1"/>
  <c r="S100" i="12"/>
  <c r="T100" i="12" s="1"/>
  <c r="T82" i="12"/>
  <c r="S75" i="12"/>
  <c r="T75" i="12" s="1"/>
  <c r="J75" i="12"/>
  <c r="K75" i="12" s="1"/>
  <c r="J63" i="12"/>
  <c r="K63" i="12" s="1"/>
  <c r="J96" i="12"/>
  <c r="K96" i="12" s="1"/>
  <c r="F86" i="12"/>
  <c r="G86" i="12" s="1"/>
  <c r="S86" i="12"/>
  <c r="T86" i="12" s="1"/>
  <c r="F104" i="12"/>
  <c r="G104" i="12" s="1"/>
  <c r="J104" i="12"/>
  <c r="K104" i="12" s="1"/>
  <c r="F59" i="12"/>
  <c r="G59" i="12" s="1"/>
  <c r="S76" i="12"/>
  <c r="T76" i="12" s="1"/>
  <c r="J90" i="12"/>
  <c r="K90" i="12" s="1"/>
  <c r="F113" i="12"/>
  <c r="G113" i="12" s="1"/>
  <c r="T68" i="12"/>
  <c r="T56" i="12"/>
  <c r="G92" i="12"/>
  <c r="T57" i="12"/>
  <c r="G100" i="12"/>
  <c r="T67" i="12"/>
  <c r="G73" i="12"/>
  <c r="T101" i="12"/>
  <c r="T93" i="12"/>
  <c r="T60" i="12"/>
  <c r="T89" i="12"/>
  <c r="G75" i="12"/>
  <c r="G70" i="12"/>
  <c r="T84" i="12"/>
  <c r="T64" i="12"/>
  <c r="G103" i="12"/>
  <c r="T78" i="12"/>
  <c r="T58" i="12"/>
  <c r="G69" i="12"/>
  <c r="T69" i="12"/>
  <c r="G53" i="12"/>
  <c r="S53" i="12"/>
  <c r="T53" i="12" s="1"/>
  <c r="T66" i="12"/>
  <c r="T112" i="12"/>
  <c r="G114" i="12"/>
  <c r="T98" i="12"/>
  <c r="G121" i="12"/>
  <c r="T110" i="12"/>
  <c r="T85" i="12"/>
  <c r="G66" i="12"/>
  <c r="T108" i="12"/>
  <c r="T65" i="12"/>
  <c r="T103" i="12"/>
  <c r="T115" i="12"/>
  <c r="G65" i="12"/>
  <c r="G68" i="12"/>
  <c r="T83" i="12"/>
  <c r="G78" i="12"/>
  <c r="T62" i="12"/>
  <c r="T116" i="12"/>
  <c r="T104" i="12"/>
  <c r="T72" i="12"/>
  <c r="G85" i="12"/>
  <c r="T88" i="12"/>
  <c r="G67" i="12"/>
  <c r="G98" i="12"/>
  <c r="T106" i="12"/>
  <c r="T63" i="12"/>
  <c r="G116" i="12"/>
  <c r="T114" i="12"/>
  <c r="T102" i="12"/>
  <c r="T117" i="12"/>
  <c r="T87" i="12"/>
  <c r="T61" i="12"/>
  <c r="T90" i="12"/>
  <c r="T96" i="12"/>
  <c r="T71" i="12"/>
  <c r="T73" i="12"/>
  <c r="G77" i="12"/>
  <c r="B6" i="11"/>
  <c r="L42" i="11"/>
  <c r="A44" i="11" l="1"/>
  <c r="AB4" i="12" l="1"/>
  <c r="AB5" i="12"/>
  <c r="AB6" i="12"/>
  <c r="AB7" i="12"/>
  <c r="AB8" i="12"/>
  <c r="N9" i="11" s="1"/>
  <c r="AB9" i="12"/>
  <c r="N10" i="11" s="1"/>
  <c r="AB10" i="12"/>
  <c r="N11" i="11" s="1"/>
  <c r="AB11" i="12"/>
  <c r="N12" i="11" s="1"/>
  <c r="AB12" i="12"/>
  <c r="N13" i="11" s="1"/>
  <c r="AB13" i="12"/>
  <c r="N14" i="11" s="1"/>
  <c r="AB14" i="12"/>
  <c r="N15" i="11" s="1"/>
  <c r="AB15" i="12"/>
  <c r="N16" i="11" s="1"/>
  <c r="AB16" i="12"/>
  <c r="N17" i="11" s="1"/>
  <c r="AB17" i="12"/>
  <c r="N18" i="11" s="1"/>
  <c r="AB18" i="12"/>
  <c r="N19" i="11" s="1"/>
  <c r="V19" i="11" s="1"/>
  <c r="AB19" i="12"/>
  <c r="N20" i="11" s="1"/>
  <c r="V20" i="11" s="1"/>
  <c r="AB3" i="12"/>
  <c r="V17" i="11" l="1"/>
  <c r="V15" i="11"/>
  <c r="V13" i="11"/>
  <c r="V12" i="11"/>
  <c r="V14" i="11"/>
  <c r="V18" i="11"/>
  <c r="V16" i="11"/>
  <c r="V11" i="11"/>
  <c r="V10" i="11"/>
  <c r="V9" i="11"/>
  <c r="N7" i="11"/>
  <c r="A26" i="11"/>
  <c r="N5" i="11"/>
  <c r="A24" i="11"/>
  <c r="N4" i="11"/>
  <c r="A23" i="11"/>
  <c r="N8" i="11"/>
  <c r="A27" i="11"/>
  <c r="N6" i="11"/>
  <c r="A25" i="11"/>
  <c r="B8" i="11"/>
  <c r="L31" i="11"/>
  <c r="L32" i="11"/>
  <c r="L33" i="11"/>
  <c r="L34" i="11"/>
  <c r="L35" i="11"/>
  <c r="L36" i="11"/>
  <c r="L37" i="11"/>
  <c r="L38" i="11"/>
  <c r="L39" i="11"/>
  <c r="L40" i="11"/>
  <c r="L41" i="11"/>
  <c r="L30" i="11"/>
  <c r="G21" i="9"/>
  <c r="K6" i="10" s="1"/>
  <c r="M8" i="10"/>
  <c r="M9" i="10"/>
  <c r="M10" i="10"/>
  <c r="M11" i="10"/>
  <c r="M12" i="10"/>
  <c r="M13" i="10"/>
  <c r="M14" i="10"/>
  <c r="M15" i="10"/>
  <c r="M16" i="10"/>
  <c r="M17" i="10"/>
  <c r="M18" i="10"/>
  <c r="M19" i="10"/>
  <c r="M20" i="10"/>
  <c r="M21" i="10"/>
  <c r="M22" i="10"/>
  <c r="M23" i="10"/>
  <c r="M24" i="10"/>
  <c r="M25" i="10"/>
  <c r="M26" i="10"/>
  <c r="M27" i="10"/>
  <c r="M28" i="10"/>
  <c r="M29" i="10"/>
  <c r="M30" i="10"/>
  <c r="M31" i="10"/>
  <c r="M32" i="10"/>
  <c r="M33" i="10"/>
  <c r="M34" i="10"/>
  <c r="M35" i="10"/>
  <c r="M36" i="10"/>
  <c r="M37" i="10"/>
  <c r="M38" i="10"/>
  <c r="M39" i="10"/>
  <c r="M40" i="10"/>
  <c r="M41" i="10"/>
  <c r="M42" i="10"/>
  <c r="M43" i="10"/>
  <c r="M44" i="10"/>
  <c r="M45" i="10"/>
  <c r="M46" i="10"/>
  <c r="M47" i="10"/>
  <c r="M48" i="10"/>
  <c r="M49" i="10"/>
  <c r="M50" i="10"/>
  <c r="M51" i="10"/>
  <c r="M52" i="10"/>
  <c r="M53" i="10"/>
  <c r="M54" i="10"/>
  <c r="M55" i="10"/>
  <c r="M56" i="10"/>
  <c r="A43" i="11"/>
  <c r="B44" i="11"/>
  <c r="C44" i="11"/>
  <c r="C43" i="11"/>
  <c r="V5" i="11" l="1"/>
  <c r="V6" i="11"/>
  <c r="V8" i="11"/>
  <c r="V7" i="11"/>
  <c r="V4" i="11"/>
  <c r="Y3" i="12"/>
  <c r="Z3" i="12"/>
  <c r="B43" i="11"/>
  <c r="A48" i="11"/>
  <c r="R43" i="12"/>
  <c r="Q43" i="12"/>
  <c r="P43" i="12"/>
  <c r="O43" i="12"/>
  <c r="R19" i="12"/>
  <c r="Q19" i="12"/>
  <c r="O19" i="12"/>
  <c r="P19" i="12"/>
  <c r="R34" i="12"/>
  <c r="Q34" i="12"/>
  <c r="P34" i="12"/>
  <c r="O34" i="12"/>
  <c r="R10" i="12"/>
  <c r="Q10" i="12"/>
  <c r="P10" i="12"/>
  <c r="O10" i="12"/>
  <c r="R49" i="12"/>
  <c r="Q49" i="12"/>
  <c r="O49" i="12"/>
  <c r="P49" i="12"/>
  <c r="R41" i="12"/>
  <c r="Q41" i="12"/>
  <c r="O41" i="12"/>
  <c r="P41" i="12"/>
  <c r="R33" i="12"/>
  <c r="Q33" i="12"/>
  <c r="O33" i="12"/>
  <c r="P33" i="12"/>
  <c r="R25" i="12"/>
  <c r="Q25" i="12"/>
  <c r="P25" i="12"/>
  <c r="O25" i="12"/>
  <c r="O17" i="12"/>
  <c r="R17" i="12"/>
  <c r="Q17" i="12"/>
  <c r="P17" i="12"/>
  <c r="Q9" i="12"/>
  <c r="R9" i="12"/>
  <c r="O9" i="12"/>
  <c r="P9" i="12"/>
  <c r="Q48" i="12"/>
  <c r="R48" i="12"/>
  <c r="P48" i="12"/>
  <c r="O48" i="12"/>
  <c r="P40" i="12"/>
  <c r="R40" i="12"/>
  <c r="Q40" i="12"/>
  <c r="O40" i="12"/>
  <c r="R32" i="12"/>
  <c r="P32" i="12"/>
  <c r="Q32" i="12"/>
  <c r="O32" i="12"/>
  <c r="Q24" i="12"/>
  <c r="R24" i="12"/>
  <c r="P24" i="12"/>
  <c r="O24" i="12"/>
  <c r="P16" i="12"/>
  <c r="R16" i="12"/>
  <c r="Q16" i="12"/>
  <c r="O16" i="12"/>
  <c r="Q8" i="12"/>
  <c r="R8" i="12"/>
  <c r="P8" i="12"/>
  <c r="O8" i="12"/>
  <c r="R51" i="12"/>
  <c r="Q51" i="12"/>
  <c r="O51" i="12"/>
  <c r="P51" i="12"/>
  <c r="R27" i="12"/>
  <c r="Q27" i="12"/>
  <c r="P27" i="12"/>
  <c r="O27" i="12"/>
  <c r="R42" i="12"/>
  <c r="Q42" i="12"/>
  <c r="P42" i="12"/>
  <c r="O42" i="12"/>
  <c r="R18" i="12"/>
  <c r="Q18" i="12"/>
  <c r="P18" i="12"/>
  <c r="O18" i="12"/>
  <c r="R47" i="12"/>
  <c r="P47" i="12"/>
  <c r="Q47" i="12"/>
  <c r="O47" i="12"/>
  <c r="R23" i="12"/>
  <c r="Q23" i="12"/>
  <c r="P23" i="12"/>
  <c r="O23" i="12"/>
  <c r="R7" i="12"/>
  <c r="Q7" i="12"/>
  <c r="P7" i="12"/>
  <c r="O7" i="12"/>
  <c r="Q46" i="12"/>
  <c r="P46" i="12"/>
  <c r="O46" i="12"/>
  <c r="R46" i="12"/>
  <c r="Q38" i="12"/>
  <c r="O38" i="12"/>
  <c r="P38" i="12"/>
  <c r="R38" i="12"/>
  <c r="Q30" i="12"/>
  <c r="P30" i="12"/>
  <c r="O30" i="12"/>
  <c r="R30" i="12"/>
  <c r="Q22" i="12"/>
  <c r="P22" i="12"/>
  <c r="O22" i="12"/>
  <c r="R22" i="12"/>
  <c r="Q14" i="12"/>
  <c r="O14" i="12"/>
  <c r="P14" i="12"/>
  <c r="R14" i="12"/>
  <c r="Q6" i="12"/>
  <c r="P6" i="12"/>
  <c r="O6" i="12"/>
  <c r="R6" i="12"/>
  <c r="R35" i="12"/>
  <c r="Q35" i="12"/>
  <c r="P35" i="12"/>
  <c r="O35" i="12"/>
  <c r="R50" i="12"/>
  <c r="Q50" i="12"/>
  <c r="P50" i="12"/>
  <c r="O50" i="12"/>
  <c r="R31" i="12"/>
  <c r="P31" i="12"/>
  <c r="Q31" i="12"/>
  <c r="O31" i="12"/>
  <c r="R15" i="12"/>
  <c r="P15" i="12"/>
  <c r="O15" i="12"/>
  <c r="Q15" i="12"/>
  <c r="R3" i="12"/>
  <c r="Q3" i="12"/>
  <c r="O3" i="12"/>
  <c r="P3" i="12"/>
  <c r="P45" i="12"/>
  <c r="O45" i="12"/>
  <c r="R45" i="12"/>
  <c r="Q45" i="12"/>
  <c r="P37" i="12"/>
  <c r="O37" i="12"/>
  <c r="R37" i="12"/>
  <c r="Q37" i="12"/>
  <c r="P29" i="12"/>
  <c r="R29" i="12"/>
  <c r="O29" i="12"/>
  <c r="Q29" i="12"/>
  <c r="P21" i="12"/>
  <c r="O21" i="12"/>
  <c r="R21" i="12"/>
  <c r="Q21" i="12"/>
  <c r="P13" i="12"/>
  <c r="O13" i="12"/>
  <c r="R13" i="12"/>
  <c r="Q13" i="12"/>
  <c r="P5" i="12"/>
  <c r="R5" i="12"/>
  <c r="O5" i="12"/>
  <c r="Q5" i="12"/>
  <c r="R11" i="12"/>
  <c r="Q11" i="12"/>
  <c r="P11" i="12"/>
  <c r="O11" i="12"/>
  <c r="R26" i="12"/>
  <c r="Q26" i="12"/>
  <c r="P26" i="12"/>
  <c r="O26" i="12"/>
  <c r="R39" i="12"/>
  <c r="O39" i="12"/>
  <c r="Q39" i="12"/>
  <c r="P39" i="12"/>
  <c r="O52" i="12"/>
  <c r="R52" i="12"/>
  <c r="Q52" i="12"/>
  <c r="P52" i="12"/>
  <c r="O44" i="12"/>
  <c r="R44" i="12"/>
  <c r="P44" i="12"/>
  <c r="Q44" i="12"/>
  <c r="O36" i="12"/>
  <c r="R36" i="12"/>
  <c r="P36" i="12"/>
  <c r="Q36" i="12"/>
  <c r="O28" i="12"/>
  <c r="Q28" i="12"/>
  <c r="R28" i="12"/>
  <c r="P28" i="12"/>
  <c r="O20" i="12"/>
  <c r="Q20" i="12"/>
  <c r="R20" i="12"/>
  <c r="P20" i="12"/>
  <c r="O12" i="12"/>
  <c r="R12" i="12"/>
  <c r="Q12" i="12"/>
  <c r="P12" i="12"/>
  <c r="O4" i="12"/>
  <c r="Q4" i="12"/>
  <c r="R4" i="12"/>
  <c r="P4" i="12"/>
  <c r="L51" i="12"/>
  <c r="C51" i="12"/>
  <c r="D51" i="12"/>
  <c r="E51" i="12"/>
  <c r="B51" i="12"/>
  <c r="L11" i="12"/>
  <c r="C11" i="12"/>
  <c r="D11" i="12"/>
  <c r="E11" i="12"/>
  <c r="B11" i="12"/>
  <c r="L42" i="12"/>
  <c r="C42" i="12"/>
  <c r="D42" i="12"/>
  <c r="E42" i="12"/>
  <c r="B42" i="12"/>
  <c r="L26" i="12"/>
  <c r="C26" i="12"/>
  <c r="B26" i="12"/>
  <c r="D26" i="12"/>
  <c r="E26" i="12"/>
  <c r="L41" i="12"/>
  <c r="D41" i="12"/>
  <c r="E41" i="12"/>
  <c r="B41" i="12"/>
  <c r="C41" i="12"/>
  <c r="L9" i="12"/>
  <c r="D9" i="12"/>
  <c r="B9" i="12"/>
  <c r="E9" i="12"/>
  <c r="C9" i="12"/>
  <c r="L32" i="12"/>
  <c r="D32" i="12"/>
  <c r="E32" i="12"/>
  <c r="C32" i="12"/>
  <c r="B32" i="12"/>
  <c r="L16" i="12"/>
  <c r="D16" i="12"/>
  <c r="E16" i="12"/>
  <c r="B16" i="12"/>
  <c r="C16" i="12"/>
  <c r="L47" i="12"/>
  <c r="E47" i="12"/>
  <c r="B47" i="12"/>
  <c r="C47" i="12"/>
  <c r="D47" i="12"/>
  <c r="L39" i="12"/>
  <c r="E39" i="12"/>
  <c r="C39" i="12"/>
  <c r="B39" i="12"/>
  <c r="D39" i="12"/>
  <c r="L31" i="12"/>
  <c r="E31" i="12"/>
  <c r="B31" i="12"/>
  <c r="C31" i="12"/>
  <c r="D31" i="12"/>
  <c r="L23" i="12"/>
  <c r="C23" i="12"/>
  <c r="E23" i="12"/>
  <c r="B23" i="12"/>
  <c r="D23" i="12"/>
  <c r="L15" i="12"/>
  <c r="E15" i="12"/>
  <c r="B15" i="12"/>
  <c r="C15" i="12"/>
  <c r="D15" i="12"/>
  <c r="L7" i="12"/>
  <c r="E7" i="12"/>
  <c r="C7" i="12"/>
  <c r="B7" i="12"/>
  <c r="D7" i="12"/>
  <c r="L46" i="12"/>
  <c r="E46" i="12"/>
  <c r="B46" i="12"/>
  <c r="D46" i="12"/>
  <c r="C46" i="12"/>
  <c r="L38" i="12"/>
  <c r="E38" i="12"/>
  <c r="B38" i="12"/>
  <c r="C38" i="12"/>
  <c r="D38" i="12"/>
  <c r="L30" i="12"/>
  <c r="E30" i="12"/>
  <c r="B30" i="12"/>
  <c r="D30" i="12"/>
  <c r="C30" i="12"/>
  <c r="L22" i="12"/>
  <c r="E22" i="12"/>
  <c r="B22" i="12"/>
  <c r="D22" i="12"/>
  <c r="C22" i="12"/>
  <c r="L14" i="12"/>
  <c r="E14" i="12"/>
  <c r="B14" i="12"/>
  <c r="C14" i="12"/>
  <c r="D14" i="12"/>
  <c r="L6" i="12"/>
  <c r="L35" i="12"/>
  <c r="C35" i="12"/>
  <c r="D35" i="12"/>
  <c r="E35" i="12"/>
  <c r="B35" i="12"/>
  <c r="L27" i="12"/>
  <c r="E27" i="12"/>
  <c r="C27" i="12"/>
  <c r="D27" i="12"/>
  <c r="B27" i="12"/>
  <c r="L50" i="12"/>
  <c r="C50" i="12"/>
  <c r="D50" i="12"/>
  <c r="B50" i="12"/>
  <c r="E50" i="12"/>
  <c r="L10" i="12"/>
  <c r="C10" i="12"/>
  <c r="D10" i="12"/>
  <c r="B10" i="12"/>
  <c r="L33" i="12"/>
  <c r="D33" i="12"/>
  <c r="B33" i="12"/>
  <c r="E33" i="12"/>
  <c r="C33" i="12"/>
  <c r="L25" i="12"/>
  <c r="D25" i="12"/>
  <c r="E25" i="12"/>
  <c r="B25" i="12"/>
  <c r="C25" i="12"/>
  <c r="L48" i="12"/>
  <c r="D48" i="12"/>
  <c r="E48" i="12"/>
  <c r="C48" i="12"/>
  <c r="B48" i="12"/>
  <c r="L24" i="12"/>
  <c r="D24" i="12"/>
  <c r="C24" i="12"/>
  <c r="E24" i="12"/>
  <c r="B24" i="12"/>
  <c r="L45" i="12"/>
  <c r="D45" i="12"/>
  <c r="B45" i="12"/>
  <c r="C45" i="12"/>
  <c r="E45" i="12"/>
  <c r="L37" i="12"/>
  <c r="B37" i="12"/>
  <c r="C37" i="12"/>
  <c r="D37" i="12"/>
  <c r="E37" i="12"/>
  <c r="L29" i="12"/>
  <c r="B29" i="12"/>
  <c r="D29" i="12"/>
  <c r="C29" i="12"/>
  <c r="E29" i="12"/>
  <c r="L21" i="12"/>
  <c r="D21" i="12"/>
  <c r="B21" i="12"/>
  <c r="C21" i="12"/>
  <c r="E21" i="12"/>
  <c r="L13" i="12"/>
  <c r="B13" i="12"/>
  <c r="C13" i="12"/>
  <c r="D13" i="12"/>
  <c r="E13" i="12"/>
  <c r="L5" i="12"/>
  <c r="L43" i="12"/>
  <c r="C43" i="12"/>
  <c r="E43" i="12"/>
  <c r="D43" i="12"/>
  <c r="B43" i="12"/>
  <c r="L19" i="12"/>
  <c r="C19" i="12"/>
  <c r="D19" i="12"/>
  <c r="E19" i="12"/>
  <c r="B19" i="12"/>
  <c r="L34" i="12"/>
  <c r="C34" i="12"/>
  <c r="D34" i="12"/>
  <c r="B34" i="12"/>
  <c r="E34" i="12"/>
  <c r="L18" i="12"/>
  <c r="C18" i="12"/>
  <c r="D18" i="12"/>
  <c r="E18" i="12"/>
  <c r="B18" i="12"/>
  <c r="L49" i="12"/>
  <c r="B49" i="12"/>
  <c r="D49" i="12"/>
  <c r="E49" i="12"/>
  <c r="C49" i="12"/>
  <c r="L17" i="12"/>
  <c r="B17" i="12"/>
  <c r="D17" i="12"/>
  <c r="E17" i="12"/>
  <c r="C17" i="12"/>
  <c r="L40" i="12"/>
  <c r="D40" i="12"/>
  <c r="E40" i="12"/>
  <c r="B40" i="12"/>
  <c r="C40" i="12"/>
  <c r="L8" i="12"/>
  <c r="D8" i="12"/>
  <c r="E8" i="12"/>
  <c r="C8" i="12"/>
  <c r="B8" i="12"/>
  <c r="L52" i="12"/>
  <c r="B52" i="12"/>
  <c r="E52" i="12"/>
  <c r="C52" i="12"/>
  <c r="D52" i="12"/>
  <c r="L44" i="12"/>
  <c r="B44" i="12"/>
  <c r="C44" i="12"/>
  <c r="E44" i="12"/>
  <c r="D44" i="12"/>
  <c r="L36" i="12"/>
  <c r="B36" i="12"/>
  <c r="C36" i="12"/>
  <c r="D36" i="12"/>
  <c r="E36" i="12"/>
  <c r="L28" i="12"/>
  <c r="B28" i="12"/>
  <c r="C28" i="12"/>
  <c r="E28" i="12"/>
  <c r="D28" i="12"/>
  <c r="L20" i="12"/>
  <c r="B20" i="12"/>
  <c r="C20" i="12"/>
  <c r="E20" i="12"/>
  <c r="D20" i="12"/>
  <c r="L12" i="12"/>
  <c r="B12" i="12"/>
  <c r="C12" i="12"/>
  <c r="D12" i="12"/>
  <c r="E12" i="12"/>
  <c r="L4" i="12"/>
  <c r="L3" i="12"/>
  <c r="C6" i="12"/>
  <c r="D6" i="12"/>
  <c r="B6" i="12"/>
  <c r="E6" i="12"/>
  <c r="D5" i="12"/>
  <c r="B5" i="12"/>
  <c r="E5" i="12"/>
  <c r="C5" i="12"/>
  <c r="E4" i="12"/>
  <c r="D4" i="12"/>
  <c r="B4" i="12"/>
  <c r="C4" i="12"/>
  <c r="C3" i="12"/>
  <c r="D3" i="12"/>
  <c r="B3" i="12"/>
  <c r="E3" i="12"/>
  <c r="D6" i="10"/>
  <c r="H6" i="10"/>
  <c r="F6" i="10"/>
  <c r="J6" i="10"/>
  <c r="L6" i="10"/>
  <c r="E6" i="10"/>
  <c r="G6" i="10"/>
  <c r="I6" i="10"/>
  <c r="E2" i="10"/>
  <c r="H2" i="10"/>
  <c r="E3" i="10"/>
  <c r="D2" i="10"/>
  <c r="F2" i="10"/>
  <c r="J2" i="10"/>
  <c r="H3" i="10"/>
  <c r="F3" i="10"/>
  <c r="J3" i="10"/>
  <c r="D3" i="10"/>
  <c r="N54" i="10"/>
  <c r="O54" i="10"/>
  <c r="P54" i="10"/>
  <c r="N55" i="10"/>
  <c r="O55" i="10"/>
  <c r="P55" i="10"/>
  <c r="N56" i="10"/>
  <c r="O56" i="10"/>
  <c r="P56" i="10"/>
  <c r="C5" i="11"/>
  <c r="AT3" i="12" l="1"/>
  <c r="T45" i="11" s="1"/>
  <c r="AT5" i="12"/>
  <c r="T47" i="11" s="1"/>
  <c r="AT6" i="12"/>
  <c r="T48" i="11" s="1"/>
  <c r="AT4" i="12"/>
  <c r="T46" i="11" s="1"/>
  <c r="L153" i="12"/>
  <c r="B153" i="12"/>
  <c r="E153" i="12"/>
  <c r="P153" i="12"/>
  <c r="R153" i="12"/>
  <c r="D153" i="12"/>
  <c r="C153" i="12"/>
  <c r="O153" i="12"/>
  <c r="Q153" i="12"/>
  <c r="AQ4" i="12"/>
  <c r="Q46" i="11" s="1"/>
  <c r="AQ6" i="12"/>
  <c r="Q48" i="11" s="1"/>
  <c r="AQ5" i="12"/>
  <c r="Q47" i="11" s="1"/>
  <c r="AQ3" i="12"/>
  <c r="Q45" i="11" s="1"/>
  <c r="Z11" i="12"/>
  <c r="Y11" i="12"/>
  <c r="I52" i="12"/>
  <c r="S52" i="12" s="1"/>
  <c r="T52" i="12" s="1"/>
  <c r="I50" i="12"/>
  <c r="J50" i="12" s="1"/>
  <c r="K50" i="12" s="1"/>
  <c r="I51" i="12"/>
  <c r="S51" i="12" s="1"/>
  <c r="T51" i="12" s="1"/>
  <c r="C48" i="11"/>
  <c r="D6" i="11"/>
  <c r="J52" i="12" l="1"/>
  <c r="K52" i="12" s="1"/>
  <c r="F50" i="12"/>
  <c r="G50" i="12" s="1"/>
  <c r="S50" i="12"/>
  <c r="T50" i="12" s="1"/>
  <c r="F52" i="12"/>
  <c r="G52" i="12" s="1"/>
  <c r="J51" i="12"/>
  <c r="K51" i="12" s="1"/>
  <c r="F51" i="12"/>
  <c r="G51" i="12" s="1"/>
  <c r="N50" i="12"/>
  <c r="N51" i="12"/>
  <c r="N52" i="12"/>
  <c r="A50" i="12"/>
  <c r="A51" i="12"/>
  <c r="A52" i="12"/>
  <c r="O8" i="10" l="1"/>
  <c r="O9" i="10"/>
  <c r="O10" i="10"/>
  <c r="O11" i="10"/>
  <c r="O12" i="10"/>
  <c r="O13" i="10"/>
  <c r="O14" i="10"/>
  <c r="O15" i="10"/>
  <c r="O16" i="10"/>
  <c r="O17" i="10"/>
  <c r="O18" i="10"/>
  <c r="O19" i="10"/>
  <c r="O20" i="10"/>
  <c r="O21" i="10"/>
  <c r="O22" i="10"/>
  <c r="O23" i="10"/>
  <c r="O24" i="10"/>
  <c r="O25" i="10"/>
  <c r="O26" i="10"/>
  <c r="O27" i="10"/>
  <c r="O28" i="10"/>
  <c r="O29" i="10"/>
  <c r="O30" i="10"/>
  <c r="O31" i="10"/>
  <c r="O32" i="10"/>
  <c r="O33" i="10"/>
  <c r="O34" i="10"/>
  <c r="O35" i="10"/>
  <c r="O36" i="10"/>
  <c r="O37" i="10"/>
  <c r="O38" i="10"/>
  <c r="O39" i="10"/>
  <c r="O40" i="10"/>
  <c r="O41" i="10"/>
  <c r="O42" i="10"/>
  <c r="O43" i="10"/>
  <c r="O44" i="10"/>
  <c r="O45" i="10"/>
  <c r="O46" i="10"/>
  <c r="O47" i="10"/>
  <c r="O48" i="10"/>
  <c r="O49" i="10"/>
  <c r="O50" i="10"/>
  <c r="O51" i="10"/>
  <c r="O52" i="10"/>
  <c r="O53" i="10"/>
  <c r="O7" i="10"/>
  <c r="P8" i="10"/>
  <c r="P9" i="10"/>
  <c r="P10" i="10"/>
  <c r="P11" i="10"/>
  <c r="P12" i="10"/>
  <c r="P13" i="10"/>
  <c r="P14" i="10"/>
  <c r="P15" i="10"/>
  <c r="P16" i="10"/>
  <c r="P17" i="10"/>
  <c r="P18" i="10"/>
  <c r="P19" i="10"/>
  <c r="P20" i="10"/>
  <c r="P21" i="10"/>
  <c r="P22" i="10"/>
  <c r="P23" i="10"/>
  <c r="P24" i="10"/>
  <c r="P25" i="10"/>
  <c r="P26" i="10"/>
  <c r="P27" i="10"/>
  <c r="P28" i="10"/>
  <c r="P29" i="10"/>
  <c r="P30" i="10"/>
  <c r="P31" i="10"/>
  <c r="P32" i="10"/>
  <c r="P33" i="10"/>
  <c r="P34" i="10"/>
  <c r="P35" i="10"/>
  <c r="P36" i="10"/>
  <c r="P37" i="10"/>
  <c r="P38" i="10"/>
  <c r="P39" i="10"/>
  <c r="P40" i="10"/>
  <c r="P41" i="10"/>
  <c r="P42" i="10"/>
  <c r="P43" i="10"/>
  <c r="P44" i="10"/>
  <c r="P45" i="10"/>
  <c r="P46" i="10"/>
  <c r="P47" i="10"/>
  <c r="P48" i="10"/>
  <c r="P49" i="10"/>
  <c r="P50" i="10"/>
  <c r="P51" i="10"/>
  <c r="P52" i="10"/>
  <c r="P53" i="10"/>
  <c r="P7" i="10"/>
  <c r="N8" i="10"/>
  <c r="N9" i="10"/>
  <c r="N10" i="10"/>
  <c r="N11" i="10"/>
  <c r="N12" i="10"/>
  <c r="N13" i="10"/>
  <c r="N14" i="10"/>
  <c r="N15" i="10"/>
  <c r="N16" i="10"/>
  <c r="N17" i="10"/>
  <c r="I13" i="12" s="1"/>
  <c r="N18" i="10"/>
  <c r="N19" i="10"/>
  <c r="N20" i="10"/>
  <c r="N21" i="10"/>
  <c r="I17" i="12" s="1"/>
  <c r="N22" i="10"/>
  <c r="N23" i="10"/>
  <c r="N24" i="10"/>
  <c r="N25" i="10"/>
  <c r="I21" i="12" s="1"/>
  <c r="N26" i="10"/>
  <c r="I22" i="12" s="1"/>
  <c r="N27" i="10"/>
  <c r="N28" i="10"/>
  <c r="N29" i="10"/>
  <c r="I25" i="12" s="1"/>
  <c r="N30" i="10"/>
  <c r="N31" i="10"/>
  <c r="N32" i="10"/>
  <c r="N33" i="10"/>
  <c r="I29" i="12" s="1"/>
  <c r="N34" i="10"/>
  <c r="I30" i="12" s="1"/>
  <c r="N35" i="10"/>
  <c r="N36" i="10"/>
  <c r="N37" i="10"/>
  <c r="I33" i="12" s="1"/>
  <c r="N38" i="10"/>
  <c r="N39" i="10"/>
  <c r="N40" i="10"/>
  <c r="N41" i="10"/>
  <c r="I37" i="12" s="1"/>
  <c r="N42" i="10"/>
  <c r="I38" i="12" s="1"/>
  <c r="N43" i="10"/>
  <c r="N44" i="10"/>
  <c r="N45" i="10"/>
  <c r="I41" i="12" s="1"/>
  <c r="N46" i="10"/>
  <c r="N47" i="10"/>
  <c r="N48" i="10"/>
  <c r="N49" i="10"/>
  <c r="I45" i="12" s="1"/>
  <c r="N50" i="10"/>
  <c r="I46" i="12" s="1"/>
  <c r="N51" i="10"/>
  <c r="N52" i="10"/>
  <c r="N53" i="10"/>
  <c r="N7" i="10"/>
  <c r="I5" i="12" l="1"/>
  <c r="I36" i="12"/>
  <c r="F36" i="12" s="1"/>
  <c r="G36" i="12" s="1"/>
  <c r="I43" i="12"/>
  <c r="I35" i="12"/>
  <c r="I27" i="12"/>
  <c r="J27" i="12" s="1"/>
  <c r="K27" i="12" s="1"/>
  <c r="I19" i="12"/>
  <c r="F19" i="12" s="1"/>
  <c r="G19" i="12" s="1"/>
  <c r="I11" i="12"/>
  <c r="I42" i="12"/>
  <c r="F42" i="12" s="1"/>
  <c r="G42" i="12" s="1"/>
  <c r="I34" i="12"/>
  <c r="J34" i="12" s="1"/>
  <c r="K34" i="12" s="1"/>
  <c r="I26" i="12"/>
  <c r="I18" i="12"/>
  <c r="I10" i="12"/>
  <c r="J10" i="12" s="1"/>
  <c r="I48" i="12"/>
  <c r="J48" i="12" s="1"/>
  <c r="K48" i="12" s="1"/>
  <c r="I40" i="12"/>
  <c r="S40" i="12" s="1"/>
  <c r="T40" i="12" s="1"/>
  <c r="I32" i="12"/>
  <c r="I24" i="12"/>
  <c r="S24" i="12" s="1"/>
  <c r="T24" i="12" s="1"/>
  <c r="I16" i="12"/>
  <c r="S16" i="12" s="1"/>
  <c r="T16" i="12" s="1"/>
  <c r="F29" i="12"/>
  <c r="G29" i="12" s="1"/>
  <c r="S29" i="12"/>
  <c r="T29" i="12" s="1"/>
  <c r="J29" i="12"/>
  <c r="K29" i="12" s="1"/>
  <c r="I44" i="12"/>
  <c r="S44" i="12" s="1"/>
  <c r="T44" i="12" s="1"/>
  <c r="I47" i="12"/>
  <c r="I39" i="12"/>
  <c r="F39" i="12" s="1"/>
  <c r="G39" i="12" s="1"/>
  <c r="I31" i="12"/>
  <c r="I23" i="12"/>
  <c r="F23" i="12" s="1"/>
  <c r="G23" i="12" s="1"/>
  <c r="I15" i="12"/>
  <c r="S15" i="12" s="1"/>
  <c r="T15" i="12" s="1"/>
  <c r="I20" i="12"/>
  <c r="J46" i="12"/>
  <c r="K46" i="12" s="1"/>
  <c r="S46" i="12"/>
  <c r="T46" i="12" s="1"/>
  <c r="F46" i="12"/>
  <c r="G46" i="12" s="1"/>
  <c r="I28" i="12"/>
  <c r="F28" i="12" s="1"/>
  <c r="G28" i="12" s="1"/>
  <c r="I49" i="12"/>
  <c r="S49" i="12" s="1"/>
  <c r="T49" i="12" s="1"/>
  <c r="S48" i="12"/>
  <c r="T48" i="12" s="1"/>
  <c r="J44" i="12"/>
  <c r="K44" i="12" s="1"/>
  <c r="F45" i="12"/>
  <c r="G45" i="12" s="1"/>
  <c r="S45" i="12"/>
  <c r="T45" i="12" s="1"/>
  <c r="J45" i="12"/>
  <c r="K45" i="12" s="1"/>
  <c r="S43" i="12"/>
  <c r="T43" i="12" s="1"/>
  <c r="J43" i="12"/>
  <c r="K43" i="12" s="1"/>
  <c r="F43" i="12"/>
  <c r="G43" i="12" s="1"/>
  <c r="F40" i="12"/>
  <c r="G40" i="12" s="1"/>
  <c r="S38" i="12"/>
  <c r="T38" i="12" s="1"/>
  <c r="J38" i="12"/>
  <c r="K38" i="12" s="1"/>
  <c r="F38" i="12"/>
  <c r="G38" i="12" s="1"/>
  <c r="S41" i="12"/>
  <c r="T41" i="12" s="1"/>
  <c r="F41" i="12"/>
  <c r="G41" i="12" s="1"/>
  <c r="J41" i="12"/>
  <c r="K41" i="12" s="1"/>
  <c r="S39" i="12"/>
  <c r="T39" i="12" s="1"/>
  <c r="F37" i="12"/>
  <c r="G37" i="12" s="1"/>
  <c r="S37" i="12"/>
  <c r="T37" i="12" s="1"/>
  <c r="J37" i="12"/>
  <c r="K37" i="12" s="1"/>
  <c r="J36" i="12"/>
  <c r="K36" i="12" s="1"/>
  <c r="S36" i="12"/>
  <c r="T36" i="12" s="1"/>
  <c r="S33" i="12"/>
  <c r="T33" i="12" s="1"/>
  <c r="J33" i="12"/>
  <c r="K33" i="12" s="1"/>
  <c r="F33" i="12"/>
  <c r="G33" i="12" s="1"/>
  <c r="F30" i="12"/>
  <c r="G30" i="12" s="1"/>
  <c r="J30" i="12"/>
  <c r="K30" i="12" s="1"/>
  <c r="S30" i="12"/>
  <c r="T30" i="12" s="1"/>
  <c r="S28" i="12"/>
  <c r="T28" i="12" s="1"/>
  <c r="S27" i="12"/>
  <c r="T27" i="12" s="1"/>
  <c r="F27" i="12"/>
  <c r="G27" i="12" s="1"/>
  <c r="F25" i="12"/>
  <c r="G25" i="12" s="1"/>
  <c r="S25" i="12"/>
  <c r="T25" i="12" s="1"/>
  <c r="J25" i="12"/>
  <c r="K25" i="12" s="1"/>
  <c r="F22" i="12"/>
  <c r="G22" i="12" s="1"/>
  <c r="S22" i="12"/>
  <c r="T22" i="12" s="1"/>
  <c r="J22" i="12"/>
  <c r="K22" i="12" s="1"/>
  <c r="S20" i="12"/>
  <c r="T20" i="12" s="1"/>
  <c r="F20" i="12"/>
  <c r="G20" i="12" s="1"/>
  <c r="J20" i="12"/>
  <c r="K20" i="12" s="1"/>
  <c r="S18" i="12"/>
  <c r="T18" i="12" s="1"/>
  <c r="J18" i="12"/>
  <c r="K18" i="12" s="1"/>
  <c r="F18" i="12"/>
  <c r="G18" i="12" s="1"/>
  <c r="S23" i="12"/>
  <c r="T23" i="12" s="1"/>
  <c r="S21" i="12"/>
  <c r="T21" i="12" s="1"/>
  <c r="J21" i="12"/>
  <c r="K21" i="12" s="1"/>
  <c r="F21" i="12"/>
  <c r="G21" i="12" s="1"/>
  <c r="S19" i="12"/>
  <c r="T19" i="12" s="1"/>
  <c r="J19" i="12"/>
  <c r="K19" i="12" s="1"/>
  <c r="F16" i="12"/>
  <c r="G16" i="12" s="1"/>
  <c r="J17" i="12"/>
  <c r="K17" i="12" s="1"/>
  <c r="S17" i="12"/>
  <c r="T17" i="12" s="1"/>
  <c r="F17" i="12"/>
  <c r="G17" i="12" s="1"/>
  <c r="J15" i="12"/>
  <c r="K15" i="12" s="1"/>
  <c r="F13" i="12"/>
  <c r="G13" i="12" s="1"/>
  <c r="S13" i="12"/>
  <c r="T13" i="12" s="1"/>
  <c r="J13" i="12"/>
  <c r="K13" i="12" s="1"/>
  <c r="I14" i="12"/>
  <c r="I3" i="12"/>
  <c r="S3" i="12" s="1"/>
  <c r="T3" i="12" s="1"/>
  <c r="I12" i="12"/>
  <c r="I4" i="12"/>
  <c r="I8" i="12"/>
  <c r="I7" i="12"/>
  <c r="J5" i="12"/>
  <c r="S5" i="12"/>
  <c r="T5" i="12" s="1"/>
  <c r="F5" i="12"/>
  <c r="G5" i="12" s="1"/>
  <c r="I9" i="12"/>
  <c r="I6" i="12"/>
  <c r="N38" i="12"/>
  <c r="N39" i="12"/>
  <c r="N40" i="12"/>
  <c r="N41" i="12"/>
  <c r="N42" i="12"/>
  <c r="N43" i="12"/>
  <c r="N44" i="12"/>
  <c r="N45" i="12"/>
  <c r="N46" i="12"/>
  <c r="N47" i="12"/>
  <c r="N48" i="12"/>
  <c r="N49" i="12"/>
  <c r="A38" i="12"/>
  <c r="A39" i="12"/>
  <c r="A40" i="12"/>
  <c r="A41" i="12"/>
  <c r="A42" i="12"/>
  <c r="A43" i="12"/>
  <c r="A44" i="12"/>
  <c r="A45" i="12"/>
  <c r="A46" i="12"/>
  <c r="A47" i="12"/>
  <c r="A48" i="12"/>
  <c r="A49" i="12"/>
  <c r="S10" i="12" l="1"/>
  <c r="T10" i="12" s="1"/>
  <c r="F10" i="12"/>
  <c r="G10" i="12" s="1"/>
  <c r="F15" i="12"/>
  <c r="G15" i="12" s="1"/>
  <c r="J40" i="12"/>
  <c r="K40" i="12" s="1"/>
  <c r="J16" i="12"/>
  <c r="K16" i="12" s="1"/>
  <c r="J23" i="12"/>
  <c r="K23" i="12" s="1"/>
  <c r="S42" i="12"/>
  <c r="T42" i="12" s="1"/>
  <c r="J32" i="12"/>
  <c r="K32" i="12" s="1"/>
  <c r="S32" i="12"/>
  <c r="T32" i="12" s="1"/>
  <c r="F32" i="12"/>
  <c r="G32" i="12" s="1"/>
  <c r="J11" i="12"/>
  <c r="K11" i="12" s="1"/>
  <c r="S11" i="12"/>
  <c r="T11" i="12" s="1"/>
  <c r="F11" i="12"/>
  <c r="G11" i="12" s="1"/>
  <c r="J42" i="12"/>
  <c r="K42" i="12" s="1"/>
  <c r="F44" i="12"/>
  <c r="G44" i="12" s="1"/>
  <c r="S47" i="12"/>
  <c r="T47" i="12" s="1"/>
  <c r="F47" i="12"/>
  <c r="G47" i="12" s="1"/>
  <c r="J47" i="12"/>
  <c r="K47" i="12" s="1"/>
  <c r="F24" i="12"/>
  <c r="G24" i="12" s="1"/>
  <c r="F35" i="12"/>
  <c r="G35" i="12" s="1"/>
  <c r="J35" i="12"/>
  <c r="K35" i="12" s="1"/>
  <c r="S35" i="12"/>
  <c r="T35" i="12" s="1"/>
  <c r="J24" i="12"/>
  <c r="K24" i="12" s="1"/>
  <c r="J28" i="12"/>
  <c r="K28" i="12" s="1"/>
  <c r="F34" i="12"/>
  <c r="G34" i="12" s="1"/>
  <c r="J39" i="12"/>
  <c r="K39" i="12" s="1"/>
  <c r="F48" i="12"/>
  <c r="G48" i="12" s="1"/>
  <c r="S31" i="12"/>
  <c r="T31" i="12" s="1"/>
  <c r="J31" i="12"/>
  <c r="K31" i="12" s="1"/>
  <c r="F31" i="12"/>
  <c r="G31" i="12" s="1"/>
  <c r="S34" i="12"/>
  <c r="T34" i="12" s="1"/>
  <c r="S26" i="12"/>
  <c r="T26" i="12" s="1"/>
  <c r="J26" i="12"/>
  <c r="K26" i="12" s="1"/>
  <c r="F26" i="12"/>
  <c r="G26" i="12" s="1"/>
  <c r="J49" i="12"/>
  <c r="K49" i="12" s="1"/>
  <c r="F49" i="12"/>
  <c r="G49" i="12" s="1"/>
  <c r="S14" i="12"/>
  <c r="T14" i="12" s="1"/>
  <c r="F14" i="12"/>
  <c r="G14" i="12" s="1"/>
  <c r="J14" i="12"/>
  <c r="K14" i="12" s="1"/>
  <c r="J3" i="12"/>
  <c r="F3" i="12"/>
  <c r="G3" i="12" s="1"/>
  <c r="J7" i="12"/>
  <c r="K7" i="12" s="1"/>
  <c r="S7" i="12"/>
  <c r="F7" i="12"/>
  <c r="J8" i="12"/>
  <c r="K8" i="12" s="1"/>
  <c r="S8" i="12"/>
  <c r="T8" i="12" s="1"/>
  <c r="F8" i="12"/>
  <c r="G8" i="12" s="1"/>
  <c r="J9" i="12"/>
  <c r="K9" i="12" s="1"/>
  <c r="F9" i="12"/>
  <c r="G9" i="12" s="1"/>
  <c r="S9" i="12"/>
  <c r="T9" i="12" s="1"/>
  <c r="J4" i="12"/>
  <c r="K4" i="12" s="1"/>
  <c r="S4" i="12"/>
  <c r="T4" i="12" s="1"/>
  <c r="F4" i="12"/>
  <c r="G4" i="12" s="1"/>
  <c r="J6" i="12"/>
  <c r="K6" i="12" s="1"/>
  <c r="S6" i="12"/>
  <c r="T6" i="12" s="1"/>
  <c r="F6" i="12"/>
  <c r="G6" i="12" s="1"/>
  <c r="J12" i="12"/>
  <c r="K12" i="12" s="1"/>
  <c r="S12" i="12"/>
  <c r="T12" i="12" s="1"/>
  <c r="F12" i="12"/>
  <c r="G12" i="12" s="1"/>
  <c r="K10" i="12"/>
  <c r="K5" i="12"/>
  <c r="T7" i="12" l="1"/>
  <c r="S153" i="12"/>
  <c r="G7" i="12"/>
  <c r="F153" i="12"/>
  <c r="E5" i="11"/>
  <c r="C18" i="11" s="1"/>
  <c r="B16" i="11"/>
  <c r="E14" i="11"/>
  <c r="C14" i="11"/>
  <c r="B12" i="11"/>
  <c r="B10" i="11"/>
  <c r="AD34" i="12" l="1"/>
  <c r="Q35" i="11" s="1"/>
  <c r="AD30" i="12"/>
  <c r="Q31" i="11" s="1"/>
  <c r="AD26" i="12"/>
  <c r="Q27" i="11" s="1"/>
  <c r="AD22" i="12"/>
  <c r="Q23" i="11" s="1"/>
  <c r="AD18" i="12"/>
  <c r="Q19" i="11" s="1"/>
  <c r="AD14" i="12"/>
  <c r="Q15" i="11" s="1"/>
  <c r="AD10" i="12"/>
  <c r="Q11" i="11" s="1"/>
  <c r="AD6" i="12"/>
  <c r="Q7" i="11" s="1"/>
  <c r="AD37" i="12"/>
  <c r="Q38" i="11" s="1"/>
  <c r="AD33" i="12"/>
  <c r="Q34" i="11" s="1"/>
  <c r="AD29" i="12"/>
  <c r="Q30" i="11" s="1"/>
  <c r="AD25" i="12"/>
  <c r="Q26" i="11" s="1"/>
  <c r="AD21" i="12"/>
  <c r="Q22" i="11" s="1"/>
  <c r="AD17" i="12"/>
  <c r="Q18" i="11" s="1"/>
  <c r="AD13" i="12"/>
  <c r="Q14" i="11" s="1"/>
  <c r="AD9" i="12"/>
  <c r="Q10" i="11" s="1"/>
  <c r="AD5" i="12"/>
  <c r="AD36" i="12"/>
  <c r="Q37" i="11" s="1"/>
  <c r="AD32" i="12"/>
  <c r="Q33" i="11" s="1"/>
  <c r="AD28" i="12"/>
  <c r="Q29" i="11" s="1"/>
  <c r="AD24" i="12"/>
  <c r="Q25" i="11" s="1"/>
  <c r="AD20" i="12"/>
  <c r="Q21" i="11" s="1"/>
  <c r="AD16" i="12"/>
  <c r="Q17" i="11" s="1"/>
  <c r="AD12" i="12"/>
  <c r="Q13" i="11" s="1"/>
  <c r="AD8" i="12"/>
  <c r="Q9" i="11" s="1"/>
  <c r="AD4" i="12"/>
  <c r="Q5" i="11" s="1"/>
  <c r="AD35" i="12"/>
  <c r="Q36" i="11" s="1"/>
  <c r="AD31" i="12"/>
  <c r="Q32" i="11" s="1"/>
  <c r="AD27" i="12"/>
  <c r="Q28" i="11" s="1"/>
  <c r="AD23" i="12"/>
  <c r="Q24" i="11" s="1"/>
  <c r="AD19" i="12"/>
  <c r="Q20" i="11" s="1"/>
  <c r="AD15" i="12"/>
  <c r="Q16" i="11" s="1"/>
  <c r="AD11" i="12"/>
  <c r="Q12" i="11" s="1"/>
  <c r="AD7" i="12"/>
  <c r="Q8" i="11" s="1"/>
  <c r="A5" i="11"/>
  <c r="A4" i="12"/>
  <c r="A5" i="12"/>
  <c r="A6" i="12"/>
  <c r="A7" i="12"/>
  <c r="A8" i="12"/>
  <c r="A9" i="12"/>
  <c r="A10" i="12"/>
  <c r="A11" i="12"/>
  <c r="A12" i="12"/>
  <c r="A13" i="12"/>
  <c r="A14" i="12"/>
  <c r="A15" i="12"/>
  <c r="A16" i="12"/>
  <c r="A17" i="12"/>
  <c r="Q6" i="11" l="1"/>
  <c r="B25" i="11"/>
  <c r="N4" i="12"/>
  <c r="N5" i="12"/>
  <c r="N6" i="12"/>
  <c r="N7" i="12"/>
  <c r="N8" i="12"/>
  <c r="N9" i="12"/>
  <c r="N10" i="12"/>
  <c r="N11" i="12"/>
  <c r="N12" i="12"/>
  <c r="N13" i="12"/>
  <c r="N14" i="12"/>
  <c r="N15" i="12"/>
  <c r="N16" i="12"/>
  <c r="N17" i="12"/>
  <c r="N18" i="12"/>
  <c r="N19" i="12"/>
  <c r="N20" i="12"/>
  <c r="N21" i="12"/>
  <c r="N22" i="12"/>
  <c r="N23" i="12"/>
  <c r="N24" i="12"/>
  <c r="N25" i="12"/>
  <c r="N26" i="12"/>
  <c r="N27" i="12"/>
  <c r="N28" i="12"/>
  <c r="N29" i="12"/>
  <c r="N30" i="12"/>
  <c r="N31" i="12"/>
  <c r="N32" i="12"/>
  <c r="N33" i="12"/>
  <c r="N34" i="12"/>
  <c r="N35" i="12"/>
  <c r="N36" i="12"/>
  <c r="N37" i="12"/>
  <c r="N3" i="12"/>
  <c r="AL6" i="12" l="1"/>
  <c r="AL8" i="12"/>
  <c r="AL4" i="12"/>
  <c r="AL7" i="12"/>
  <c r="AL3" i="12"/>
  <c r="AL14" i="12"/>
  <c r="AL37" i="12"/>
  <c r="AM37" i="12" s="1"/>
  <c r="AA38" i="11" s="1"/>
  <c r="AL36" i="12"/>
  <c r="AM36" i="12" s="1"/>
  <c r="AA37" i="11" s="1"/>
  <c r="AL28" i="12"/>
  <c r="AM28" i="12" s="1"/>
  <c r="AA29" i="11" s="1"/>
  <c r="AL20" i="12"/>
  <c r="AM20" i="12" s="1"/>
  <c r="AA21" i="11" s="1"/>
  <c r="AL10" i="12"/>
  <c r="AL29" i="12"/>
  <c r="AM29" i="12" s="1"/>
  <c r="AA30" i="11" s="1"/>
  <c r="AL21" i="12"/>
  <c r="AM21" i="12" s="1"/>
  <c r="AA22" i="11" s="1"/>
  <c r="AL13" i="12"/>
  <c r="AL34" i="12"/>
  <c r="AM34" i="12" s="1"/>
  <c r="AA35" i="11" s="1"/>
  <c r="AL26" i="12"/>
  <c r="AM26" i="12" s="1"/>
  <c r="AA27" i="11" s="1"/>
  <c r="AL18" i="12"/>
  <c r="AL35" i="12"/>
  <c r="AM35" i="12" s="1"/>
  <c r="AA36" i="11" s="1"/>
  <c r="AL27" i="12"/>
  <c r="AM27" i="12" s="1"/>
  <c r="AA28" i="11" s="1"/>
  <c r="AL19" i="12"/>
  <c r="AL11" i="12"/>
  <c r="AL5" i="12"/>
  <c r="AL9" i="12"/>
  <c r="AL32" i="12"/>
  <c r="AM32" i="12" s="1"/>
  <c r="AA33" i="11" s="1"/>
  <c r="AL24" i="12"/>
  <c r="AM24" i="12" s="1"/>
  <c r="AA25" i="11" s="1"/>
  <c r="AL16" i="12"/>
  <c r="AL33" i="12"/>
  <c r="AM33" i="12" s="1"/>
  <c r="AA34" i="11" s="1"/>
  <c r="AL25" i="12"/>
  <c r="AM25" i="12" s="1"/>
  <c r="AA26" i="11" s="1"/>
  <c r="AL17" i="12"/>
  <c r="AL30" i="12"/>
  <c r="AM30" i="12" s="1"/>
  <c r="AA31" i="11" s="1"/>
  <c r="AL22" i="12"/>
  <c r="AM22" i="12" s="1"/>
  <c r="AA23" i="11" s="1"/>
  <c r="AL12" i="12"/>
  <c r="AL31" i="12"/>
  <c r="AM31" i="12" s="1"/>
  <c r="AA32" i="11" s="1"/>
  <c r="AL23" i="12"/>
  <c r="AM23" i="12" s="1"/>
  <c r="AA24" i="11" s="1"/>
  <c r="AL15" i="12"/>
  <c r="X11" i="12"/>
  <c r="V7" i="12"/>
  <c r="V11" i="12"/>
  <c r="W11" i="12"/>
  <c r="A18" i="12"/>
  <c r="A19" i="12"/>
  <c r="A20" i="12"/>
  <c r="A21" i="12"/>
  <c r="A22" i="12"/>
  <c r="A23" i="12"/>
  <c r="A24" i="12"/>
  <c r="A25" i="12"/>
  <c r="A26" i="12"/>
  <c r="A27" i="12"/>
  <c r="A28" i="12"/>
  <c r="A29" i="12"/>
  <c r="A30" i="12"/>
  <c r="A31" i="12"/>
  <c r="A32" i="12"/>
  <c r="A33" i="12"/>
  <c r="A34" i="12"/>
  <c r="A35" i="12"/>
  <c r="A36" i="12"/>
  <c r="A37" i="12"/>
  <c r="A3" i="12"/>
  <c r="AJ8" i="12" l="1"/>
  <c r="AG6" i="12"/>
  <c r="AE3" i="12"/>
  <c r="AJ7" i="12"/>
  <c r="AG7" i="12"/>
  <c r="AG14" i="12"/>
  <c r="AJ14" i="12"/>
  <c r="AG11" i="12"/>
  <c r="AG19" i="12"/>
  <c r="AG27" i="12"/>
  <c r="AH27" i="12" s="1"/>
  <c r="S28" i="11" s="1"/>
  <c r="AG35" i="12"/>
  <c r="AH35" i="12" s="1"/>
  <c r="S36" i="11" s="1"/>
  <c r="AG18" i="12"/>
  <c r="AG26" i="12"/>
  <c r="AH26" i="12" s="1"/>
  <c r="S27" i="11" s="1"/>
  <c r="AG34" i="12"/>
  <c r="AH34" i="12" s="1"/>
  <c r="S35" i="11" s="1"/>
  <c r="AG9" i="12"/>
  <c r="AG17" i="12"/>
  <c r="AG25" i="12"/>
  <c r="AH25" i="12" s="1"/>
  <c r="S26" i="11" s="1"/>
  <c r="AG33" i="12"/>
  <c r="AH33" i="12" s="1"/>
  <c r="S34" i="11" s="1"/>
  <c r="AG16" i="12"/>
  <c r="AG24" i="12"/>
  <c r="AH24" i="12" s="1"/>
  <c r="S25" i="11" s="1"/>
  <c r="AG32" i="12"/>
  <c r="AH32" i="12" s="1"/>
  <c r="S33" i="11" s="1"/>
  <c r="AJ5" i="12"/>
  <c r="AJ9" i="12"/>
  <c r="AJ22" i="12"/>
  <c r="AK22" i="12" s="1"/>
  <c r="Y23" i="11" s="1"/>
  <c r="AJ31" i="12"/>
  <c r="AK31" i="12" s="1"/>
  <c r="Y32" i="11" s="1"/>
  <c r="AJ15" i="12"/>
  <c r="AJ24" i="12"/>
  <c r="AK24" i="12" s="1"/>
  <c r="Y25" i="11" s="1"/>
  <c r="AJ33" i="12"/>
  <c r="AK33" i="12" s="1"/>
  <c r="Y34" i="11" s="1"/>
  <c r="AJ17" i="12"/>
  <c r="AJ26" i="12"/>
  <c r="AK26" i="12" s="1"/>
  <c r="Y27" i="11" s="1"/>
  <c r="AJ35" i="12"/>
  <c r="AK35" i="12" s="1"/>
  <c r="Y36" i="11" s="1"/>
  <c r="AJ19" i="12"/>
  <c r="AJ36" i="12"/>
  <c r="AK36" i="12" s="1"/>
  <c r="Y37" i="11" s="1"/>
  <c r="AJ20" i="12"/>
  <c r="AK20" i="12" s="1"/>
  <c r="Y21" i="11" s="1"/>
  <c r="AJ29" i="12"/>
  <c r="AK29" i="12" s="1"/>
  <c r="Y30" i="11" s="1"/>
  <c r="AJ13" i="12"/>
  <c r="AJ6" i="12"/>
  <c r="AJ3" i="12"/>
  <c r="AG8" i="12"/>
  <c r="AE7" i="12"/>
  <c r="AJ4" i="12"/>
  <c r="AG4" i="12"/>
  <c r="AG3" i="12"/>
  <c r="AG37" i="12"/>
  <c r="AH37" i="12" s="1"/>
  <c r="S38" i="11" s="1"/>
  <c r="AG15" i="12"/>
  <c r="AG23" i="12"/>
  <c r="AH23" i="12" s="1"/>
  <c r="S24" i="11" s="1"/>
  <c r="AG31" i="12"/>
  <c r="AH31" i="12" s="1"/>
  <c r="S32" i="11" s="1"/>
  <c r="AG12" i="12"/>
  <c r="AG22" i="12"/>
  <c r="AH22" i="12" s="1"/>
  <c r="S23" i="11" s="1"/>
  <c r="AG30" i="12"/>
  <c r="AH30" i="12" s="1"/>
  <c r="S31" i="11" s="1"/>
  <c r="AG5" i="12"/>
  <c r="AG13" i="12"/>
  <c r="AG21" i="12"/>
  <c r="AH21" i="12" s="1"/>
  <c r="S22" i="11" s="1"/>
  <c r="AG29" i="12"/>
  <c r="AH29" i="12" s="1"/>
  <c r="S30" i="11" s="1"/>
  <c r="AG10" i="12"/>
  <c r="AG20" i="12"/>
  <c r="AH20" i="12" s="1"/>
  <c r="S21" i="11" s="1"/>
  <c r="AG28" i="12"/>
  <c r="AH28" i="12" s="1"/>
  <c r="S29" i="11" s="1"/>
  <c r="AG36" i="12"/>
  <c r="AH36" i="12" s="1"/>
  <c r="S37" i="11" s="1"/>
  <c r="AJ37" i="12"/>
  <c r="AK37" i="12" s="1"/>
  <c r="Y38" i="11" s="1"/>
  <c r="AJ30" i="12"/>
  <c r="AK30" i="12" s="1"/>
  <c r="Y31" i="11" s="1"/>
  <c r="AJ12" i="12"/>
  <c r="AJ23" i="12"/>
  <c r="AK23" i="12" s="1"/>
  <c r="Y24" i="11" s="1"/>
  <c r="AJ32" i="12"/>
  <c r="AK32" i="12" s="1"/>
  <c r="Y33" i="11" s="1"/>
  <c r="AJ16" i="12"/>
  <c r="AJ25" i="12"/>
  <c r="AK25" i="12" s="1"/>
  <c r="Y26" i="11" s="1"/>
  <c r="AJ34" i="12"/>
  <c r="AK34" i="12" s="1"/>
  <c r="Y35" i="11" s="1"/>
  <c r="AJ18" i="12"/>
  <c r="AJ27" i="12"/>
  <c r="AK27" i="12" s="1"/>
  <c r="Y28" i="11" s="1"/>
  <c r="AJ11" i="12"/>
  <c r="AJ28" i="12"/>
  <c r="AK28" i="12" s="1"/>
  <c r="Y29" i="11" s="1"/>
  <c r="AJ10" i="12"/>
  <c r="AJ21" i="12"/>
  <c r="AK21" i="12" s="1"/>
  <c r="Y22" i="11" s="1"/>
  <c r="K3" i="12"/>
  <c r="AE4" i="12" s="1"/>
  <c r="AM11" i="12"/>
  <c r="AA12" i="11" s="1"/>
  <c r="D14" i="11"/>
  <c r="K153" i="12" l="1"/>
  <c r="X7" i="12"/>
  <c r="AE6" i="12"/>
  <c r="AE21" i="12"/>
  <c r="AF21" i="12" s="1"/>
  <c r="R22" i="11" s="1"/>
  <c r="AE34" i="12"/>
  <c r="AF34" i="12" s="1"/>
  <c r="R35" i="11" s="1"/>
  <c r="AE18" i="12"/>
  <c r="AF18" i="12" s="1"/>
  <c r="R19" i="11" s="1"/>
  <c r="AE23" i="12"/>
  <c r="AF23" i="12" s="1"/>
  <c r="R24" i="11" s="1"/>
  <c r="AE36" i="12"/>
  <c r="AF36" i="12" s="1"/>
  <c r="R37" i="11" s="1"/>
  <c r="AE20" i="12"/>
  <c r="AF20" i="12" s="1"/>
  <c r="R21" i="11" s="1"/>
  <c r="AE14" i="12"/>
  <c r="AF14" i="12" s="1"/>
  <c r="R15" i="11" s="1"/>
  <c r="AE33" i="12"/>
  <c r="AF33" i="12" s="1"/>
  <c r="R34" i="11" s="1"/>
  <c r="AE17" i="12"/>
  <c r="AF17" i="12" s="1"/>
  <c r="R18" i="11" s="1"/>
  <c r="AE30" i="12"/>
  <c r="AF30" i="12" s="1"/>
  <c r="R31" i="11" s="1"/>
  <c r="AE12" i="12"/>
  <c r="AF12" i="12" s="1"/>
  <c r="R13" i="11" s="1"/>
  <c r="AE27" i="12"/>
  <c r="AF27" i="12" s="1"/>
  <c r="R28" i="11" s="1"/>
  <c r="AE11" i="12"/>
  <c r="AF11" i="12" s="1"/>
  <c r="R12" i="11" s="1"/>
  <c r="AE24" i="12"/>
  <c r="AF24" i="12" s="1"/>
  <c r="R25" i="11" s="1"/>
  <c r="AE29" i="12"/>
  <c r="AF29" i="12" s="1"/>
  <c r="R30" i="11" s="1"/>
  <c r="AE13" i="12"/>
  <c r="AF13" i="12" s="1"/>
  <c r="R14" i="11" s="1"/>
  <c r="AE26" i="12"/>
  <c r="AF26" i="12" s="1"/>
  <c r="R27" i="11" s="1"/>
  <c r="AE31" i="12"/>
  <c r="AF31" i="12" s="1"/>
  <c r="R32" i="11" s="1"/>
  <c r="AE15" i="12"/>
  <c r="AF15" i="12" s="1"/>
  <c r="R16" i="11" s="1"/>
  <c r="AE28" i="12"/>
  <c r="AF28" i="12" s="1"/>
  <c r="R29" i="11" s="1"/>
  <c r="AE10" i="12"/>
  <c r="AF10" i="12" s="1"/>
  <c r="R11" i="11" s="1"/>
  <c r="AE8" i="12"/>
  <c r="AF8" i="12" s="1"/>
  <c r="R9" i="11" s="1"/>
  <c r="AE25" i="12"/>
  <c r="AF25" i="12" s="1"/>
  <c r="R26" i="11" s="1"/>
  <c r="AE9" i="12"/>
  <c r="AF9" i="12" s="1"/>
  <c r="R10" i="11" s="1"/>
  <c r="AE22" i="12"/>
  <c r="AF22" i="12" s="1"/>
  <c r="R23" i="11" s="1"/>
  <c r="AE35" i="12"/>
  <c r="AF35" i="12" s="1"/>
  <c r="R36" i="11" s="1"/>
  <c r="AE19" i="12"/>
  <c r="AF19" i="12" s="1"/>
  <c r="R20" i="11" s="1"/>
  <c r="AE32" i="12"/>
  <c r="AF32" i="12" s="1"/>
  <c r="R33" i="11" s="1"/>
  <c r="AE16" i="12"/>
  <c r="AF16" i="12" s="1"/>
  <c r="R17" i="11" s="1"/>
  <c r="AE5" i="12"/>
  <c r="AF5" i="12" s="1"/>
  <c r="R6" i="11" s="1"/>
  <c r="Z7" i="12"/>
  <c r="AE37" i="12"/>
  <c r="AF37" i="12" s="1"/>
  <c r="R38" i="11" s="1"/>
  <c r="AF7" i="12"/>
  <c r="R8" i="11" s="1"/>
  <c r="AF6" i="12"/>
  <c r="R7" i="11" s="1"/>
  <c r="W7" i="12"/>
  <c r="Y7" i="12"/>
  <c r="AF3" i="12"/>
  <c r="R4" i="11" s="1"/>
  <c r="AM18" i="12"/>
  <c r="AA19" i="11" s="1"/>
  <c r="AM8" i="12"/>
  <c r="AA9" i="11" s="1"/>
  <c r="AM10" i="12"/>
  <c r="AA11" i="11" s="1"/>
  <c r="AM16" i="12"/>
  <c r="AA17" i="11" s="1"/>
  <c r="AM5" i="12"/>
  <c r="AA6" i="11" s="1"/>
  <c r="AM14" i="12"/>
  <c r="AA15" i="11" s="1"/>
  <c r="AM4" i="12"/>
  <c r="AA5" i="11" s="1"/>
  <c r="AM17" i="12"/>
  <c r="AA18" i="11" s="1"/>
  <c r="AM9" i="12"/>
  <c r="AA10" i="11" s="1"/>
  <c r="AM7" i="12"/>
  <c r="AA8" i="11" s="1"/>
  <c r="AM3" i="12"/>
  <c r="AA4" i="11" s="1"/>
  <c r="AM6" i="12"/>
  <c r="AA7" i="11" s="1"/>
  <c r="AD3" i="12"/>
  <c r="AK16" i="12"/>
  <c r="Y17" i="11" s="1"/>
  <c r="AK7" i="12"/>
  <c r="Y8" i="11" s="1"/>
  <c r="AK17" i="12"/>
  <c r="Y18" i="11" s="1"/>
  <c r="AH14" i="12"/>
  <c r="S15" i="11" s="1"/>
  <c r="AH12" i="12"/>
  <c r="S13" i="11" s="1"/>
  <c r="AK8" i="12"/>
  <c r="Y9" i="11" s="1"/>
  <c r="AK13" i="12"/>
  <c r="Y14" i="11" s="1"/>
  <c r="AH10" i="12"/>
  <c r="S11" i="11" s="1"/>
  <c r="AK9" i="12"/>
  <c r="Y10" i="11" s="1"/>
  <c r="AK18" i="12"/>
  <c r="Y19" i="11" s="1"/>
  <c r="AH6" i="12"/>
  <c r="S7" i="11" s="1"/>
  <c r="AH19" i="12"/>
  <c r="S20" i="11" s="1"/>
  <c r="AK12" i="12"/>
  <c r="Y13" i="11" s="1"/>
  <c r="AH9" i="12"/>
  <c r="S10" i="11" s="1"/>
  <c r="AK3" i="12"/>
  <c r="Y4" i="11" s="1"/>
  <c r="AH3" i="12"/>
  <c r="S4" i="11" s="1"/>
  <c r="AK15" i="12"/>
  <c r="Y16" i="11" s="1"/>
  <c r="AK4" i="12"/>
  <c r="Y5" i="11" s="1"/>
  <c r="AH5" i="12"/>
  <c r="S6" i="11" s="1"/>
  <c r="AH17" i="12"/>
  <c r="S18" i="11" s="1"/>
  <c r="AH8" i="12"/>
  <c r="S9" i="11" s="1"/>
  <c r="AH11" i="12"/>
  <c r="S12" i="11" s="1"/>
  <c r="AK11" i="12"/>
  <c r="Y12" i="11" s="1"/>
  <c r="AK14" i="12"/>
  <c r="Y15" i="11" s="1"/>
  <c r="AK10" i="12"/>
  <c r="Y11" i="11" s="1"/>
  <c r="AH16" i="12"/>
  <c r="S17" i="11" s="1"/>
  <c r="AF4" i="12"/>
  <c r="R5" i="11" s="1"/>
  <c r="AH13" i="12"/>
  <c r="S14" i="11" s="1"/>
  <c r="AK6" i="12"/>
  <c r="Y7" i="11" s="1"/>
  <c r="AK19" i="12"/>
  <c r="Y20" i="11" s="1"/>
  <c r="AH15" i="12"/>
  <c r="S16" i="11" s="1"/>
  <c r="AH4" i="12"/>
  <c r="S5" i="11" s="1"/>
  <c r="AK5" i="12"/>
  <c r="Y6" i="11" s="1"/>
  <c r="AH7" i="12"/>
  <c r="S8" i="11" s="1"/>
  <c r="AH18" i="12"/>
  <c r="S19" i="11" s="1"/>
  <c r="AM12" i="12"/>
  <c r="AA13" i="11" s="1"/>
  <c r="AM15" i="12"/>
  <c r="AA16" i="11" s="1"/>
  <c r="AM13" i="12"/>
  <c r="AA14" i="11" s="1"/>
  <c r="AM19" i="12"/>
  <c r="AA20" i="11" s="1"/>
  <c r="Z4" i="12"/>
  <c r="B27" i="11" s="1"/>
  <c r="X10" i="12"/>
  <c r="X6" i="12"/>
  <c r="W4" i="12"/>
  <c r="Y4" i="12"/>
  <c r="B26" i="11" s="1"/>
  <c r="X4" i="12"/>
  <c r="B24" i="11" s="1"/>
  <c r="V4" i="12"/>
  <c r="B23" i="11" s="1"/>
  <c r="Q4" i="11" l="1"/>
  <c r="S39" i="11"/>
  <c r="R39" i="11"/>
  <c r="Y39" i="11"/>
  <c r="AA39" i="11"/>
  <c r="X12" i="12"/>
  <c r="D24" i="11" s="1"/>
  <c r="Z12" i="12"/>
  <c r="D27" i="11" s="1"/>
  <c r="W12" i="12"/>
  <c r="D25" i="11" s="1"/>
  <c r="Y12" i="12"/>
  <c r="D26" i="11" s="1"/>
  <c r="V12" i="12"/>
  <c r="D23" i="11" s="1"/>
  <c r="W8" i="12"/>
  <c r="C25" i="11" s="1"/>
  <c r="Y8" i="12"/>
  <c r="C26" i="11" s="1"/>
  <c r="V8" i="12"/>
  <c r="C23" i="11" s="1"/>
  <c r="X8" i="12"/>
  <c r="C24" i="11" s="1"/>
  <c r="Z8" i="12"/>
  <c r="C27" i="11" s="1"/>
  <c r="Q39" i="11" l="1"/>
  <c r="B28" i="11"/>
  <c r="C28" i="11"/>
  <c r="D28" i="11"/>
  <c r="G36" i="11"/>
  <c r="B48" i="11" l="1"/>
  <c r="B154" i="12" l="1"/>
  <c r="E154" i="12"/>
  <c r="F154" i="12"/>
  <c r="D154" i="12"/>
  <c r="C154" i="12"/>
  <c r="G154" i="12" l="1"/>
  <c r="B34" i="11" s="1"/>
  <c r="B35" i="11" l="1"/>
  <c r="B47" i="11"/>
  <c r="A47" i="11"/>
  <c r="B36" i="11"/>
  <c r="J46" i="11"/>
  <c r="O154" i="12"/>
  <c r="S154" i="12"/>
  <c r="R154" i="12"/>
  <c r="Q154" i="12"/>
  <c r="P154" i="12"/>
  <c r="B46" i="11" l="1"/>
  <c r="E48" i="11" s="1"/>
  <c r="T154" i="12"/>
  <c r="J10" i="11" s="1"/>
  <c r="K46" i="11" l="1"/>
  <c r="L46" i="11" s="1"/>
  <c r="E46" i="11"/>
  <c r="J11" i="11"/>
  <c r="J19" i="11"/>
  <c r="J48" i="11"/>
  <c r="J12" i="11"/>
  <c r="I19" i="11"/>
  <c r="J18" i="11" l="1"/>
  <c r="J29" i="11" s="1"/>
  <c r="K29" i="11" s="1"/>
  <c r="J30" i="11"/>
  <c r="K30" i="11" s="1"/>
  <c r="J36" i="11"/>
  <c r="K36" i="11" s="1"/>
  <c r="J38" i="11"/>
  <c r="K38" i="11" s="1"/>
  <c r="J32" i="11"/>
  <c r="K32" i="11" s="1"/>
  <c r="J34" i="11"/>
  <c r="K34" i="11" s="1"/>
  <c r="J35" i="11"/>
  <c r="K35" i="11" s="1"/>
  <c r="J33" i="11"/>
  <c r="K33" i="11" s="1"/>
  <c r="J31" i="11"/>
  <c r="K31" i="11" s="1"/>
  <c r="J37" i="11"/>
  <c r="K37" i="11" s="1"/>
  <c r="J40" i="11"/>
  <c r="K40" i="11" s="1"/>
  <c r="J39" i="11"/>
  <c r="K39" i="11" s="1"/>
  <c r="K154" i="12"/>
  <c r="L154" i="12"/>
  <c r="K48" i="11" l="1"/>
  <c r="L48" i="11" s="1"/>
  <c r="L18" i="11"/>
</calcChain>
</file>

<file path=xl/sharedStrings.xml><?xml version="1.0" encoding="utf-8"?>
<sst xmlns="http://schemas.openxmlformats.org/spreadsheetml/2006/main" count="263" uniqueCount="173">
  <si>
    <t>Species Name</t>
  </si>
  <si>
    <t>No.</t>
  </si>
  <si>
    <t>KEY:</t>
  </si>
  <si>
    <t>SD: Stem diameter</t>
  </si>
  <si>
    <t>CD: Canopy diamter</t>
  </si>
  <si>
    <t>TH: Tree height</t>
  </si>
  <si>
    <t>TH</t>
  </si>
  <si>
    <t>TH Only</t>
  </si>
  <si>
    <t>CD Only</t>
  </si>
  <si>
    <t>CD</t>
  </si>
  <si>
    <t>General Information</t>
  </si>
  <si>
    <t>Farm name:</t>
  </si>
  <si>
    <t>Site name/number:</t>
  </si>
  <si>
    <t>Coordinates:</t>
  </si>
  <si>
    <t>Date:</t>
  </si>
  <si>
    <t>Name of data collector:</t>
  </si>
  <si>
    <t>Width</t>
  </si>
  <si>
    <t>Data input</t>
  </si>
  <si>
    <t>BUSH FEED</t>
  </si>
  <si>
    <t>Calculations - WOOD</t>
  </si>
  <si>
    <t>Calculations - BUSH FEED</t>
  </si>
  <si>
    <t>Transect Area:</t>
  </si>
  <si>
    <t>Length</t>
  </si>
  <si>
    <t>S. mellifera</t>
  </si>
  <si>
    <t>V. reficience</t>
  </si>
  <si>
    <t>T. sericea</t>
  </si>
  <si>
    <t>Species</t>
  </si>
  <si>
    <t>* Compulsory</t>
  </si>
  <si>
    <t>FOR ETTE</t>
  </si>
  <si>
    <t>Total</t>
  </si>
  <si>
    <t>/ha</t>
  </si>
  <si>
    <t>Sep</t>
  </si>
  <si>
    <t>Oct</t>
  </si>
  <si>
    <t>Nov</t>
  </si>
  <si>
    <t>Dec</t>
  </si>
  <si>
    <t>Jan</t>
  </si>
  <si>
    <t>Feb</t>
  </si>
  <si>
    <t>Mar</t>
  </si>
  <si>
    <t>Apr</t>
  </si>
  <si>
    <t>May</t>
  </si>
  <si>
    <t>Jul</t>
  </si>
  <si>
    <t>Aug</t>
  </si>
  <si>
    <t>Plants/ha</t>
  </si>
  <si>
    <t>Bush Feed (DM)</t>
  </si>
  <si>
    <t>Bush feed (Fresh)</t>
  </si>
  <si>
    <t>Moisture content at peak</t>
  </si>
  <si>
    <t>Stems (&gt;0.5 - &lt;2cm)</t>
  </si>
  <si>
    <t>kg / ha</t>
  </si>
  <si>
    <t>PLEASE FILL</t>
  </si>
  <si>
    <t>TE</t>
  </si>
  <si>
    <t>%</t>
  </si>
  <si>
    <t>Leaves + Stems (0 - &lt;0.5cm)</t>
  </si>
  <si>
    <t>This includes all leaves and all stems up to 2cm in diameter</t>
  </si>
  <si>
    <t>This includes all stems greater then 2cm up to 18cm in diameter</t>
  </si>
  <si>
    <t>Average</t>
  </si>
  <si>
    <t xml:space="preserve">  </t>
  </si>
  <si>
    <t>WOOD</t>
  </si>
  <si>
    <t>m square</t>
  </si>
  <si>
    <t>TH &amp; CD</t>
  </si>
  <si>
    <t>TH &amp; SD</t>
  </si>
  <si>
    <t>TH &amp; CH &amp; CD</t>
  </si>
  <si>
    <t>R</t>
  </si>
  <si>
    <t>H - Cone</t>
  </si>
  <si>
    <t>H - Dome</t>
  </si>
  <si>
    <t>ENTER DATA HERE</t>
  </si>
  <si>
    <t>CANVOL 1</t>
  </si>
  <si>
    <t>Broad-leaved plants</t>
  </si>
  <si>
    <t>Other(Broad-leaved)</t>
  </si>
  <si>
    <t>Percentage of individual plant(s) to be harvested</t>
  </si>
  <si>
    <t>Microphyllous plants</t>
  </si>
  <si>
    <t>Other(Microphyllous)</t>
  </si>
  <si>
    <t>TE/ha</t>
  </si>
  <si>
    <t>Length (m)</t>
  </si>
  <si>
    <t>Width (m)</t>
  </si>
  <si>
    <t>ETTE</t>
  </si>
  <si>
    <t>YES</t>
  </si>
  <si>
    <t>NO</t>
  </si>
  <si>
    <t>Average / Median rainfall</t>
  </si>
  <si>
    <t>It works on the woody thinning principle and therefore reflects the bush feed biomass available from a thinning for wood</t>
  </si>
  <si>
    <t>Offered by Option</t>
  </si>
  <si>
    <t>ETTE/ha</t>
  </si>
  <si>
    <t>1. General</t>
  </si>
  <si>
    <t>2. Plant Densities</t>
  </si>
  <si>
    <t>3. Wood biomass</t>
  </si>
  <si>
    <t>3.1. Woody thinning with resultant wood biomass</t>
  </si>
  <si>
    <t>4. Bush feed Biomass</t>
  </si>
  <si>
    <t>4.1. Bush feed biomass from resultant thinning</t>
  </si>
  <si>
    <t>4.2. Bush feed fluctuation over season</t>
  </si>
  <si>
    <t>Set</t>
  </si>
  <si>
    <t>Wood yield available when thinning to desired TE &amp; ETTE</t>
  </si>
  <si>
    <t>Bush feed yield available when thinning to desired TE &amp; ETTE</t>
  </si>
  <si>
    <t>Transect</t>
  </si>
  <si>
    <t>PLEASE CHOOSE OPTION NOW</t>
  </si>
  <si>
    <t>OPTION CHOICE     =</t>
  </si>
  <si>
    <t>CH: Height at the point where canopy is broadest</t>
  </si>
  <si>
    <t>All measurements are to be done in meters (m)</t>
  </si>
  <si>
    <t>Namibia Bush Biomass Quantification Tool</t>
  </si>
  <si>
    <t>RESULTS/REPORT</t>
  </si>
  <si>
    <t>Total biomass (kg DM/ha):</t>
  </si>
  <si>
    <t>Can be changed</t>
  </si>
  <si>
    <t xml:space="preserve"> (In full leaf)</t>
  </si>
  <si>
    <t>Biomass (kg/DM/ha):</t>
  </si>
  <si>
    <t>Phenology/Leaf Carriage (%)</t>
  </si>
  <si>
    <r>
      <rPr>
        <b/>
        <sz val="9"/>
        <color rgb="FFFF4F4F"/>
        <rFont val="Calibri"/>
        <family val="2"/>
        <scheme val="minor"/>
      </rPr>
      <t>Disclaimer:</t>
    </r>
    <r>
      <rPr>
        <sz val="9"/>
        <color rgb="FFFF4F4F"/>
        <rFont val="Calibri"/>
        <family val="2"/>
        <scheme val="minor"/>
      </rPr>
      <t xml:space="preserve"> </t>
    </r>
    <r>
      <rPr>
        <sz val="9"/>
        <rFont val="Calibri"/>
        <family val="2"/>
        <scheme val="minor"/>
      </rPr>
      <t>Taking the accuracy from estimations into account, the user is advised to consult the accuracy percentage of the option used and down-scale the biomass accordingly with a reasonable percentage to secure the risk of variations due to over and under-estimations.</t>
    </r>
  </si>
  <si>
    <r>
      <t>Harvesting method: A</t>
    </r>
    <r>
      <rPr>
        <b/>
        <u/>
        <sz val="11"/>
        <color theme="1"/>
        <rFont val="Calibri"/>
        <family val="2"/>
        <scheme val="minor"/>
      </rPr>
      <t>ll plants</t>
    </r>
    <r>
      <rPr>
        <b/>
        <sz val="11"/>
        <color theme="1"/>
        <rFont val="Calibri"/>
        <family val="2"/>
        <scheme val="minor"/>
      </rPr>
      <t xml:space="preserve"> or T</t>
    </r>
    <r>
      <rPr>
        <b/>
        <u/>
        <sz val="11"/>
        <color theme="1"/>
        <rFont val="Calibri"/>
        <family val="2"/>
        <scheme val="minor"/>
      </rPr>
      <t>hinning</t>
    </r>
    <r>
      <rPr>
        <b/>
        <sz val="11"/>
        <color theme="1"/>
        <rFont val="Calibri"/>
        <family val="2"/>
        <scheme val="minor"/>
      </rPr>
      <t>?</t>
    </r>
  </si>
  <si>
    <t>Accuracy (r values) for the given measurements (up to…)</t>
  </si>
  <si>
    <t>Species list</t>
  </si>
  <si>
    <t>Code</t>
  </si>
  <si>
    <t>T. ser</t>
  </si>
  <si>
    <t>V. ref</t>
  </si>
  <si>
    <t>S. mel</t>
  </si>
  <si>
    <t>Count</t>
  </si>
  <si>
    <t>Detailed plant densities</t>
  </si>
  <si>
    <t>wood/ha</t>
  </si>
  <si>
    <t>bush feed</t>
  </si>
  <si>
    <t>FILL</t>
  </si>
  <si>
    <t>Land size (ha)</t>
  </si>
  <si>
    <t>Tree list</t>
  </si>
  <si>
    <t>5. Land (ha) required for the harvesting of a given quantity of biomass</t>
  </si>
  <si>
    <t>Total biomass (kg DM/land size):</t>
  </si>
  <si>
    <t>Total biomass (DM/land size):</t>
  </si>
  <si>
    <t>Tonnes</t>
  </si>
  <si>
    <t xml:space="preserve"> (DM/land size):</t>
  </si>
  <si>
    <r>
      <t xml:space="preserve"> </t>
    </r>
    <r>
      <rPr>
        <b/>
        <sz val="11"/>
        <rFont val="Calibri"/>
        <family val="2"/>
        <scheme val="minor"/>
      </rPr>
      <t>Tonnes</t>
    </r>
    <r>
      <rPr>
        <sz val="11"/>
        <rFont val="Calibri"/>
        <family val="2"/>
        <scheme val="minor"/>
      </rPr>
      <t xml:space="preserve"> (In full leaf)</t>
    </r>
  </si>
  <si>
    <t>DM/land size:</t>
  </si>
  <si>
    <t>Wood/ha</t>
  </si>
  <si>
    <t>Bush feed/ha</t>
  </si>
  <si>
    <t>Total (kg)</t>
  </si>
  <si>
    <t xml:space="preserve">CANVOL </t>
  </si>
  <si>
    <t xml:space="preserve">LEAFVOL </t>
  </si>
  <si>
    <t xml:space="preserve">ETTE </t>
  </si>
  <si>
    <t>(kg)</t>
  </si>
  <si>
    <t>OPTIONAL</t>
  </si>
  <si>
    <r>
      <rPr>
        <b/>
        <sz val="9"/>
        <color rgb="FFFF0000"/>
        <rFont val="Calibri"/>
        <family val="2"/>
        <scheme val="minor"/>
      </rPr>
      <t>Disclaimer:</t>
    </r>
    <r>
      <rPr>
        <sz val="9"/>
        <color theme="1"/>
        <rFont val="Calibri"/>
        <family val="2"/>
        <scheme val="minor"/>
      </rPr>
      <t xml:space="preserve"> These values are calculated from available data and can only be determined after a field survey.  The disclaimer note under section 3 applies here as well.</t>
    </r>
  </si>
  <si>
    <t>Wood (kg) required</t>
  </si>
  <si>
    <t>Ha for clearing</t>
  </si>
  <si>
    <t>Ha for thinning</t>
  </si>
  <si>
    <t>50m</t>
  </si>
  <si>
    <t>Recommended dimensions:</t>
  </si>
  <si>
    <t>2.5m</t>
  </si>
  <si>
    <r>
      <rPr>
        <b/>
        <sz val="9"/>
        <color rgb="FFFF0000"/>
        <rFont val="Calibri"/>
        <family val="2"/>
        <scheme val="minor"/>
      </rPr>
      <t xml:space="preserve">Disclaimer: </t>
    </r>
    <r>
      <rPr>
        <sz val="9"/>
        <rFont val="Calibri"/>
        <family val="2"/>
        <scheme val="minor"/>
      </rPr>
      <t>The disclaimer note under section 3 apply here as well</t>
    </r>
  </si>
  <si>
    <t>South / Y</t>
  </si>
  <si>
    <t>East / X</t>
  </si>
  <si>
    <r>
      <rPr>
        <b/>
        <sz val="9"/>
        <color rgb="FFFF0000"/>
        <rFont val="Calibri"/>
        <family val="2"/>
        <scheme val="minor"/>
      </rPr>
      <t>As a general rule of thumb:</t>
    </r>
    <r>
      <rPr>
        <sz val="9"/>
        <color theme="1"/>
        <rFont val="Calibri"/>
        <family val="2"/>
        <scheme val="minor"/>
      </rPr>
      <t xml:space="preserve"> The Evapotranspiration Tree Equivalent (ETTE) should not exceed 9 - 11 times the long term average (preferably median) rainfall of an area. The Tree Equivalents (TE) should not exceed 1.5 - 3.5 times the long term average (preferably median) rainfall of an area.</t>
    </r>
  </si>
  <si>
    <t>Bush feed (kg) required</t>
  </si>
  <si>
    <t>Jun</t>
  </si>
  <si>
    <t>Detailed biomass yields</t>
  </si>
  <si>
    <t>Height classes</t>
  </si>
  <si>
    <t>1 TE</t>
  </si>
  <si>
    <t>2 TE</t>
  </si>
  <si>
    <t>3TE</t>
  </si>
  <si>
    <t>&gt;3TE</t>
  </si>
  <si>
    <t>&gt;0 to &lt;=1.5m</t>
  </si>
  <si>
    <t>&gt;1.5 to &lt;=3m</t>
  </si>
  <si>
    <t>&gt;3.0 to &lt;=4.5m</t>
  </si>
  <si>
    <t>&gt; 4.5m</t>
  </si>
  <si>
    <t>Plant Height classes</t>
  </si>
  <si>
    <t>&gt;1.5 to &lt;=3.0m</t>
  </si>
  <si>
    <t>&gt;0.0 to &lt;=1.5m</t>
  </si>
  <si>
    <t>Height classes of plants surveyed</t>
  </si>
  <si>
    <t>Number of plants</t>
  </si>
  <si>
    <t>Wood (kg/ha)</t>
  </si>
  <si>
    <t>Bush Feed (kg/ha)</t>
  </si>
  <si>
    <r>
      <t xml:space="preserve">This indicates the number of </t>
    </r>
    <r>
      <rPr>
        <b/>
        <u/>
        <sz val="11"/>
        <color theme="1"/>
        <rFont val="Calibri"/>
        <family val="2"/>
        <scheme val="minor"/>
      </rPr>
      <t>surveyed plants</t>
    </r>
    <r>
      <rPr>
        <sz val="11"/>
        <color theme="1"/>
        <rFont val="Calibri"/>
        <family val="2"/>
        <scheme val="minor"/>
      </rPr>
      <t xml:space="preserve"> falling in a certain height class.</t>
    </r>
  </si>
  <si>
    <t>It is merely a count of all plants surveyed in the given transect size selected.</t>
  </si>
  <si>
    <t>Mode</t>
  </si>
  <si>
    <t>Median</t>
  </si>
  <si>
    <t>Maximum</t>
  </si>
  <si>
    <t>Minimum</t>
  </si>
  <si>
    <t>Other tree height parameters</t>
  </si>
  <si>
    <r>
      <t xml:space="preserve">Wood biomass </t>
    </r>
    <r>
      <rPr>
        <sz val="11"/>
        <color theme="1"/>
        <rFont val="Calibri"/>
        <family val="2"/>
        <scheme val="minor"/>
      </rPr>
      <t>(kg DM/ha):</t>
    </r>
  </si>
  <si>
    <t>NONE</t>
  </si>
  <si>
    <r>
      <t>Alternative area (m square) -</t>
    </r>
    <r>
      <rPr>
        <b/>
        <sz val="11"/>
        <color theme="1"/>
        <rFont val="Calibri"/>
        <family val="2"/>
        <scheme val="minor"/>
      </rPr>
      <t xml:space="preserve"> </t>
    </r>
    <r>
      <rPr>
        <b/>
        <sz val="11"/>
        <color rgb="FFFF0000"/>
        <rFont val="Calibri"/>
        <family val="2"/>
        <scheme val="minor"/>
      </rPr>
      <t>Fill*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</si>
</sst>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36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4"/>
      <color rgb="FFFF0000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1"/>
      <color rgb="FF0070C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6"/>
      <color rgb="FF00B050"/>
      <name val="Calibri"/>
      <family val="2"/>
      <scheme val="minor"/>
    </font>
    <font>
      <b/>
      <sz val="20"/>
      <color rgb="FF00B050"/>
      <name val="Calibri"/>
      <family val="2"/>
      <scheme val="minor"/>
    </font>
    <font>
      <b/>
      <sz val="11"/>
      <color rgb="FF00B050"/>
      <name val="Calibri"/>
      <family val="2"/>
      <scheme val="minor"/>
    </font>
    <font>
      <sz val="10.8"/>
      <color theme="1"/>
      <name val="Calibri"/>
      <family val="2"/>
      <scheme val="minor"/>
    </font>
    <font>
      <b/>
      <sz val="11"/>
      <color theme="4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1" tint="0.499984740745262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9"/>
      <color rgb="FFFF4F4F"/>
      <name val="Calibri"/>
      <family val="2"/>
      <scheme val="minor"/>
    </font>
    <font>
      <sz val="9"/>
      <color rgb="FFFF4F4F"/>
      <name val="Calibri"/>
      <family val="2"/>
      <scheme val="minor"/>
    </font>
    <font>
      <sz val="9"/>
      <name val="Calibri"/>
      <family val="2"/>
      <scheme val="minor"/>
    </font>
    <font>
      <sz val="8.5"/>
      <color rgb="FFFF4F4F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color rgb="FFFF0000"/>
      <name val="Calibri"/>
      <family val="2"/>
      <scheme val="minor"/>
    </font>
    <font>
      <u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2"/>
      <color rgb="FFFF0000"/>
      <name val="Calibri"/>
      <family val="2"/>
      <scheme val="minor"/>
    </font>
    <font>
      <b/>
      <u/>
      <sz val="11"/>
      <name val="Calibri"/>
      <family val="2"/>
      <scheme val="minor"/>
    </font>
    <font>
      <u/>
      <sz val="11"/>
      <name val="Calibri"/>
      <family val="2"/>
      <scheme val="minor"/>
    </font>
    <font>
      <b/>
      <u/>
      <sz val="11"/>
      <color rgb="FF0070C0"/>
      <name val="Calibri"/>
      <family val="2"/>
      <scheme val="minor"/>
    </font>
    <font>
      <b/>
      <sz val="11"/>
      <color theme="3" tint="0.39997558519241921"/>
      <name val="Calibri"/>
      <family val="2"/>
      <scheme val="minor"/>
    </font>
    <font>
      <sz val="11"/>
      <color theme="3" tint="0.39997558519241921"/>
      <name val="Calibri"/>
      <family val="2"/>
      <scheme val="minor"/>
    </font>
  </fonts>
  <fills count="19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9FF99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CFF"/>
        <bgColor rgb="FFC00000"/>
      </patternFill>
    </fill>
    <fill>
      <patternFill patternType="solid">
        <fgColor rgb="FFFFCCFF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14999847407452621"/>
        <bgColor rgb="FFC00000"/>
      </patternFill>
    </fill>
    <fill>
      <patternFill patternType="solid">
        <fgColor rgb="FFFF4F4F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 tint="-0.34998626667073579"/>
        <bgColor indexed="64"/>
      </patternFill>
    </fill>
  </fills>
  <borders count="5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double">
        <color auto="1"/>
      </top>
      <bottom style="double">
        <color auto="1"/>
      </bottom>
      <diagonal/>
    </border>
    <border>
      <left/>
      <right/>
      <top style="thick">
        <color indexed="64"/>
      </top>
      <bottom/>
      <diagonal/>
    </border>
    <border>
      <left/>
      <right/>
      <top/>
      <bottom style="thick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/>
      <top/>
      <bottom/>
      <diagonal/>
    </border>
    <border>
      <left/>
      <right style="thick">
        <color indexed="64"/>
      </right>
      <top/>
      <bottom/>
      <diagonal/>
    </border>
    <border>
      <left style="thick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ck">
        <color indexed="64"/>
      </left>
      <right style="thin">
        <color indexed="64"/>
      </right>
      <top/>
      <bottom/>
      <diagonal/>
    </border>
    <border>
      <left style="thick">
        <color indexed="64"/>
      </left>
      <right/>
      <top/>
      <bottom style="thin">
        <color indexed="64"/>
      </bottom>
      <diagonal/>
    </border>
    <border>
      <left style="thick">
        <color indexed="64"/>
      </left>
      <right/>
      <top/>
      <bottom style="thick">
        <color indexed="64"/>
      </bottom>
      <diagonal/>
    </border>
    <border>
      <left/>
      <right style="thick">
        <color indexed="64"/>
      </right>
      <top/>
      <bottom style="thick">
        <color indexed="64"/>
      </bottom>
      <diagonal/>
    </border>
    <border>
      <left style="thick">
        <color indexed="64"/>
      </left>
      <right/>
      <top style="medium">
        <color indexed="64"/>
      </top>
      <bottom/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thick">
        <color indexed="64"/>
      </left>
      <right/>
      <top style="thin">
        <color indexed="64"/>
      </top>
      <bottom style="double">
        <color indexed="64"/>
      </bottom>
      <diagonal/>
    </border>
    <border>
      <left style="thick">
        <color indexed="64"/>
      </left>
      <right/>
      <top style="thin">
        <color indexed="64"/>
      </top>
      <bottom/>
      <diagonal/>
    </border>
    <border>
      <left/>
      <right style="thick">
        <color indexed="64"/>
      </right>
      <top style="thin">
        <color indexed="64"/>
      </top>
      <bottom/>
      <diagonal/>
    </border>
    <border>
      <left/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/>
      <top/>
      <bottom style="double">
        <color indexed="64"/>
      </bottom>
      <diagonal/>
    </border>
    <border>
      <left style="thick">
        <color auto="1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/>
      <bottom style="thick">
        <color auto="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ck">
        <color indexed="64"/>
      </bottom>
      <diagonal/>
    </border>
    <border>
      <left/>
      <right style="thick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1">
    <xf numFmtId="0" fontId="0" fillId="0" borderId="0"/>
  </cellStyleXfs>
  <cellXfs count="333">
    <xf numFmtId="0" fontId="0" fillId="0" borderId="0" xfId="0"/>
    <xf numFmtId="0" fontId="0" fillId="0" borderId="0" xfId="0" applyBorder="1"/>
    <xf numFmtId="1" fontId="0" fillId="0" borderId="0" xfId="0" applyNumberFormat="1"/>
    <xf numFmtId="2" fontId="0" fillId="0" borderId="0" xfId="0" applyNumberFormat="1"/>
    <xf numFmtId="0" fontId="0" fillId="0" borderId="0" xfId="0" applyFill="1"/>
    <xf numFmtId="0" fontId="1" fillId="0" borderId="0" xfId="0" applyFont="1" applyFill="1" applyBorder="1" applyAlignment="1">
      <alignment horizontal="center"/>
    </xf>
    <xf numFmtId="0" fontId="1" fillId="0" borderId="0" xfId="0" applyFont="1" applyFill="1" applyBorder="1"/>
    <xf numFmtId="0" fontId="1" fillId="0" borderId="0" xfId="0" applyFont="1" applyFill="1" applyBorder="1" applyAlignment="1">
      <alignment wrapText="1"/>
    </xf>
    <xf numFmtId="2" fontId="0" fillId="0" borderId="0" xfId="0" applyNumberFormat="1" applyFill="1" applyBorder="1"/>
    <xf numFmtId="0" fontId="0" fillId="6" borderId="0" xfId="0" applyFill="1"/>
    <xf numFmtId="0" fontId="0" fillId="6" borderId="0" xfId="0" applyFill="1" applyBorder="1"/>
    <xf numFmtId="2" fontId="0" fillId="0" borderId="0" xfId="0" applyNumberFormat="1" applyFont="1" applyFill="1" applyBorder="1"/>
    <xf numFmtId="0" fontId="1" fillId="0" borderId="5" xfId="0" applyFont="1" applyBorder="1"/>
    <xf numFmtId="0" fontId="0" fillId="0" borderId="0" xfId="0" applyFill="1" applyBorder="1"/>
    <xf numFmtId="0" fontId="1" fillId="0" borderId="0" xfId="0" applyFont="1" applyBorder="1"/>
    <xf numFmtId="0" fontId="1" fillId="0" borderId="0" xfId="0" applyFont="1" applyFill="1" applyBorder="1" applyAlignment="1">
      <alignment horizontal="center"/>
    </xf>
    <xf numFmtId="0" fontId="6" fillId="0" borderId="0" xfId="0" applyFont="1"/>
    <xf numFmtId="0" fontId="1" fillId="0" borderId="0" xfId="0" applyFont="1" applyFill="1" applyBorder="1" applyAlignment="1">
      <alignment horizontal="center"/>
    </xf>
    <xf numFmtId="2" fontId="10" fillId="0" borderId="0" xfId="0" applyNumberFormat="1" applyFont="1" applyFill="1" applyBorder="1"/>
    <xf numFmtId="2" fontId="0" fillId="0" borderId="0" xfId="0" applyNumberFormat="1" applyBorder="1"/>
    <xf numFmtId="0" fontId="0" fillId="0" borderId="0" xfId="0" applyFont="1" applyBorder="1"/>
    <xf numFmtId="2" fontId="0" fillId="0" borderId="0" xfId="0" applyNumberFormat="1" applyFont="1" applyBorder="1"/>
    <xf numFmtId="0" fontId="1" fillId="0" borderId="0" xfId="0" applyFont="1" applyFill="1" applyBorder="1" applyAlignment="1">
      <alignment horizontal="center"/>
    </xf>
    <xf numFmtId="1" fontId="1" fillId="0" borderId="0" xfId="0" applyNumberFormat="1" applyFont="1"/>
    <xf numFmtId="0" fontId="9" fillId="0" borderId="18" xfId="0" applyFont="1" applyBorder="1"/>
    <xf numFmtId="164" fontId="16" fillId="0" borderId="18" xfId="0" applyNumberFormat="1" applyFont="1" applyBorder="1"/>
    <xf numFmtId="2" fontId="16" fillId="0" borderId="5" xfId="0" applyNumberFormat="1" applyFont="1" applyBorder="1"/>
    <xf numFmtId="2" fontId="1" fillId="5" borderId="19" xfId="0" applyNumberFormat="1" applyFont="1" applyFill="1" applyBorder="1"/>
    <xf numFmtId="164" fontId="1" fillId="5" borderId="19" xfId="0" applyNumberFormat="1" applyFont="1" applyFill="1" applyBorder="1"/>
    <xf numFmtId="0" fontId="1" fillId="3" borderId="0" xfId="0" applyFont="1" applyFill="1" applyBorder="1" applyAlignment="1"/>
    <xf numFmtId="0" fontId="1" fillId="4" borderId="0" xfId="0" applyFont="1" applyFill="1" applyBorder="1" applyAlignment="1"/>
    <xf numFmtId="0" fontId="1" fillId="0" borderId="0" xfId="0" applyFont="1" applyFill="1" applyBorder="1" applyAlignment="1"/>
    <xf numFmtId="0" fontId="1" fillId="0" borderId="0" xfId="0" applyFont="1" applyFill="1" applyBorder="1" applyAlignment="1">
      <alignment horizontal="center"/>
    </xf>
    <xf numFmtId="0" fontId="0" fillId="6" borderId="22" xfId="0" applyFill="1" applyBorder="1"/>
    <xf numFmtId="2" fontId="16" fillId="0" borderId="0" xfId="0" applyNumberFormat="1" applyFont="1" applyBorder="1"/>
    <xf numFmtId="0" fontId="0" fillId="4" borderId="1" xfId="0" applyFill="1" applyBorder="1"/>
    <xf numFmtId="1" fontId="6" fillId="6" borderId="1" xfId="0" applyNumberFormat="1" applyFont="1" applyFill="1" applyBorder="1" applyProtection="1">
      <protection hidden="1"/>
    </xf>
    <xf numFmtId="0" fontId="6" fillId="6" borderId="1" xfId="0" applyFont="1" applyFill="1" applyBorder="1" applyAlignment="1" applyProtection="1">
      <protection hidden="1"/>
    </xf>
    <xf numFmtId="0" fontId="6" fillId="6" borderId="1" xfId="0" applyFont="1" applyFill="1" applyBorder="1" applyProtection="1">
      <protection hidden="1"/>
    </xf>
    <xf numFmtId="1" fontId="6" fillId="6" borderId="0" xfId="0" applyNumberFormat="1" applyFont="1" applyFill="1" applyBorder="1" applyAlignment="1" applyProtection="1">
      <alignment horizontal="left" indent="1"/>
      <protection hidden="1"/>
    </xf>
    <xf numFmtId="1" fontId="18" fillId="6" borderId="33" xfId="0" applyNumberFormat="1" applyFont="1" applyFill="1" applyBorder="1" applyAlignment="1" applyProtection="1">
      <alignment horizontal="left" indent="1"/>
      <protection hidden="1"/>
    </xf>
    <xf numFmtId="1" fontId="18" fillId="6" borderId="0" xfId="0" applyNumberFormat="1" applyFont="1" applyFill="1" applyBorder="1" applyAlignment="1" applyProtection="1">
      <alignment horizontal="left" indent="1"/>
      <protection hidden="1"/>
    </xf>
    <xf numFmtId="0" fontId="0" fillId="17" borderId="1" xfId="0" applyFill="1" applyBorder="1" applyProtection="1">
      <protection hidden="1"/>
    </xf>
    <xf numFmtId="0" fontId="10" fillId="17" borderId="1" xfId="0" applyFont="1" applyFill="1" applyBorder="1" applyProtection="1">
      <protection hidden="1"/>
    </xf>
    <xf numFmtId="1" fontId="19" fillId="6" borderId="18" xfId="0" applyNumberFormat="1" applyFont="1" applyFill="1" applyBorder="1" applyAlignment="1" applyProtection="1">
      <alignment horizontal="left"/>
      <protection hidden="1"/>
    </xf>
    <xf numFmtId="2" fontId="2" fillId="0" borderId="0" xfId="0" applyNumberFormat="1" applyFont="1" applyBorder="1" applyProtection="1">
      <protection hidden="1"/>
    </xf>
    <xf numFmtId="0" fontId="0" fillId="6" borderId="0" xfId="0" applyFill="1" applyBorder="1" applyProtection="1">
      <protection hidden="1"/>
    </xf>
    <xf numFmtId="1" fontId="18" fillId="6" borderId="1" xfId="0" applyNumberFormat="1" applyFont="1" applyFill="1" applyBorder="1" applyAlignment="1" applyProtection="1">
      <alignment horizontal="left" indent="2"/>
      <protection hidden="1"/>
    </xf>
    <xf numFmtId="0" fontId="0" fillId="4" borderId="0" xfId="0" applyFill="1"/>
    <xf numFmtId="1" fontId="6" fillId="6" borderId="0" xfId="0" applyNumberFormat="1" applyFont="1" applyFill="1" applyBorder="1" applyProtection="1">
      <protection hidden="1"/>
    </xf>
    <xf numFmtId="1" fontId="18" fillId="6" borderId="0" xfId="0" applyNumberFormat="1" applyFont="1" applyFill="1" applyBorder="1" applyAlignment="1" applyProtection="1">
      <alignment horizontal="left" indent="2"/>
      <protection hidden="1"/>
    </xf>
    <xf numFmtId="1" fontId="19" fillId="6" borderId="0" xfId="0" applyNumberFormat="1" applyFont="1" applyFill="1" applyBorder="1" applyAlignment="1" applyProtection="1">
      <alignment horizontal="left"/>
      <protection hidden="1"/>
    </xf>
    <xf numFmtId="1" fontId="19" fillId="6" borderId="41" xfId="0" applyNumberFormat="1" applyFont="1" applyFill="1" applyBorder="1" applyAlignment="1" applyProtection="1">
      <alignment horizontal="left"/>
      <protection hidden="1"/>
    </xf>
    <xf numFmtId="0" fontId="6" fillId="6" borderId="0" xfId="0" applyFont="1" applyFill="1" applyBorder="1" applyAlignment="1" applyProtection="1">
      <alignment horizontal="center"/>
      <protection hidden="1"/>
    </xf>
    <xf numFmtId="0" fontId="1" fillId="0" borderId="0" xfId="0" applyFont="1" applyFill="1" applyBorder="1" applyAlignment="1">
      <alignment horizontal="center"/>
    </xf>
    <xf numFmtId="0" fontId="1" fillId="0" borderId="0" xfId="0" applyFont="1" applyFill="1" applyBorder="1" applyAlignment="1">
      <alignment horizontal="center"/>
    </xf>
    <xf numFmtId="0" fontId="1" fillId="0" borderId="0" xfId="0" applyFont="1" applyFill="1" applyBorder="1" applyAlignment="1">
      <alignment horizontal="center"/>
    </xf>
    <xf numFmtId="2" fontId="16" fillId="0" borderId="0" xfId="0" applyNumberFormat="1" applyFont="1" applyFill="1" applyBorder="1"/>
    <xf numFmtId="164" fontId="16" fillId="0" borderId="0" xfId="0" applyNumberFormat="1" applyFont="1" applyBorder="1"/>
    <xf numFmtId="2" fontId="16" fillId="0" borderId="0" xfId="0" applyNumberFormat="1" applyFont="1"/>
    <xf numFmtId="0" fontId="1" fillId="0" borderId="0" xfId="0" applyFont="1" applyFill="1" applyBorder="1" applyAlignment="1">
      <alignment horizontal="center"/>
    </xf>
    <xf numFmtId="0" fontId="3" fillId="6" borderId="20" xfId="0" applyFont="1" applyFill="1" applyBorder="1" applyAlignment="1" applyProtection="1">
      <protection hidden="1"/>
    </xf>
    <xf numFmtId="0" fontId="0" fillId="6" borderId="6" xfId="0" applyFill="1" applyBorder="1" applyProtection="1">
      <protection hidden="1"/>
    </xf>
    <xf numFmtId="0" fontId="0" fillId="6" borderId="21" xfId="0" applyFill="1" applyBorder="1" applyProtection="1">
      <protection hidden="1"/>
    </xf>
    <xf numFmtId="0" fontId="0" fillId="6" borderId="20" xfId="0" applyFill="1" applyBorder="1" applyProtection="1">
      <protection hidden="1"/>
    </xf>
    <xf numFmtId="0" fontId="0" fillId="6" borderId="22" xfId="0" applyFill="1" applyBorder="1" applyProtection="1">
      <protection hidden="1"/>
    </xf>
    <xf numFmtId="0" fontId="3" fillId="6" borderId="0" xfId="0" applyFont="1" applyFill="1" applyBorder="1" applyAlignment="1" applyProtection="1">
      <protection hidden="1"/>
    </xf>
    <xf numFmtId="0" fontId="3" fillId="6" borderId="23" xfId="0" applyFont="1" applyFill="1" applyBorder="1" applyAlignment="1" applyProtection="1">
      <protection hidden="1"/>
    </xf>
    <xf numFmtId="0" fontId="5" fillId="8" borderId="22" xfId="0" applyFont="1" applyFill="1" applyBorder="1" applyProtection="1">
      <protection hidden="1"/>
    </xf>
    <xf numFmtId="0" fontId="1" fillId="8" borderId="0" xfId="0" applyFont="1" applyFill="1" applyBorder="1" applyProtection="1">
      <protection hidden="1"/>
    </xf>
    <xf numFmtId="0" fontId="1" fillId="6" borderId="0" xfId="0" applyFont="1" applyFill="1" applyBorder="1" applyAlignment="1" applyProtection="1">
      <protection hidden="1"/>
    </xf>
    <xf numFmtId="0" fontId="0" fillId="6" borderId="23" xfId="0" applyFill="1" applyBorder="1" applyProtection="1">
      <protection hidden="1"/>
    </xf>
    <xf numFmtId="0" fontId="0" fillId="8" borderId="0" xfId="0" applyFill="1" applyBorder="1" applyProtection="1">
      <protection hidden="1"/>
    </xf>
    <xf numFmtId="0" fontId="3" fillId="2" borderId="29" xfId="0" applyFont="1" applyFill="1" applyBorder="1" applyProtection="1">
      <protection hidden="1"/>
    </xf>
    <xf numFmtId="0" fontId="1" fillId="6" borderId="22" xfId="0" applyFont="1" applyFill="1" applyBorder="1" applyProtection="1">
      <protection hidden="1"/>
    </xf>
    <xf numFmtId="1" fontId="18" fillId="6" borderId="0" xfId="0" applyNumberFormat="1" applyFont="1" applyFill="1" applyBorder="1" applyAlignment="1" applyProtection="1">
      <alignment horizontal="center"/>
      <protection hidden="1"/>
    </xf>
    <xf numFmtId="0" fontId="2" fillId="5" borderId="22" xfId="0" applyFont="1" applyFill="1" applyBorder="1" applyProtection="1">
      <protection hidden="1"/>
    </xf>
    <xf numFmtId="0" fontId="1" fillId="5" borderId="0" xfId="0" applyFont="1" applyFill="1" applyBorder="1" applyAlignment="1" applyProtection="1">
      <alignment horizontal="right"/>
      <protection hidden="1"/>
    </xf>
    <xf numFmtId="0" fontId="1" fillId="6" borderId="0" xfId="0" applyFont="1" applyFill="1" applyBorder="1" applyProtection="1">
      <protection hidden="1"/>
    </xf>
    <xf numFmtId="0" fontId="2" fillId="6" borderId="22" xfId="0" applyFont="1" applyFill="1" applyBorder="1" applyProtection="1">
      <protection hidden="1"/>
    </xf>
    <xf numFmtId="0" fontId="1" fillId="6" borderId="0" xfId="0" applyFont="1" applyFill="1" applyBorder="1" applyAlignment="1" applyProtection="1">
      <alignment horizontal="right"/>
      <protection hidden="1"/>
    </xf>
    <xf numFmtId="0" fontId="1" fillId="6" borderId="1" xfId="0" applyFont="1" applyFill="1" applyBorder="1" applyProtection="1">
      <protection hidden="1"/>
    </xf>
    <xf numFmtId="0" fontId="13" fillId="6" borderId="0" xfId="0" applyFont="1" applyFill="1" applyBorder="1" applyProtection="1">
      <protection hidden="1"/>
    </xf>
    <xf numFmtId="0" fontId="1" fillId="8" borderId="26" xfId="0" applyFont="1" applyFill="1" applyBorder="1" applyProtection="1">
      <protection hidden="1"/>
    </xf>
    <xf numFmtId="164" fontId="1" fillId="6" borderId="1" xfId="0" applyNumberFormat="1" applyFont="1" applyFill="1" applyBorder="1" applyProtection="1">
      <protection hidden="1"/>
    </xf>
    <xf numFmtId="0" fontId="0" fillId="6" borderId="0" xfId="0" applyFont="1" applyFill="1" applyBorder="1" applyProtection="1">
      <protection hidden="1"/>
    </xf>
    <xf numFmtId="0" fontId="9" fillId="6" borderId="1" xfId="0" applyFont="1" applyFill="1" applyBorder="1" applyProtection="1">
      <protection hidden="1"/>
    </xf>
    <xf numFmtId="0" fontId="0" fillId="6" borderId="22" xfId="0" applyFill="1" applyBorder="1" applyAlignment="1" applyProtection="1">
      <protection hidden="1"/>
    </xf>
    <xf numFmtId="0" fontId="0" fillId="6" borderId="0" xfId="0" applyFont="1" applyFill="1" applyBorder="1" applyAlignment="1" applyProtection="1">
      <protection hidden="1"/>
    </xf>
    <xf numFmtId="0" fontId="10" fillId="6" borderId="0" xfId="0" applyFont="1" applyFill="1" applyBorder="1" applyProtection="1">
      <protection hidden="1"/>
    </xf>
    <xf numFmtId="0" fontId="0" fillId="6" borderId="23" xfId="0" applyFill="1" applyBorder="1" applyAlignment="1" applyProtection="1">
      <alignment wrapText="1"/>
      <protection hidden="1"/>
    </xf>
    <xf numFmtId="0" fontId="7" fillId="6" borderId="0" xfId="0" applyFont="1" applyFill="1" applyBorder="1" applyProtection="1">
      <protection hidden="1"/>
    </xf>
    <xf numFmtId="0" fontId="6" fillId="6" borderId="0" xfId="0" applyFont="1" applyFill="1" applyBorder="1" applyAlignment="1" applyProtection="1">
      <protection hidden="1"/>
    </xf>
    <xf numFmtId="0" fontId="0" fillId="6" borderId="0" xfId="0" applyFill="1" applyBorder="1" applyAlignment="1" applyProtection="1">
      <alignment horizontal="center"/>
      <protection hidden="1"/>
    </xf>
    <xf numFmtId="0" fontId="0" fillId="6" borderId="23" xfId="0" applyFill="1" applyBorder="1" applyAlignment="1" applyProtection="1">
      <alignment horizontal="center"/>
      <protection hidden="1"/>
    </xf>
    <xf numFmtId="0" fontId="1" fillId="6" borderId="22" xfId="0" applyFont="1" applyFill="1" applyBorder="1" applyAlignment="1" applyProtection="1">
      <alignment vertical="top"/>
      <protection hidden="1"/>
    </xf>
    <xf numFmtId="0" fontId="0" fillId="6" borderId="0" xfId="0" applyFill="1" applyBorder="1" applyAlignment="1" applyProtection="1">
      <alignment vertical="top"/>
      <protection hidden="1"/>
    </xf>
    <xf numFmtId="0" fontId="1" fillId="5" borderId="22" xfId="0" applyFont="1" applyFill="1" applyBorder="1" applyProtection="1">
      <protection hidden="1"/>
    </xf>
    <xf numFmtId="0" fontId="0" fillId="5" borderId="0" xfId="0" applyFill="1" applyBorder="1" applyProtection="1">
      <protection hidden="1"/>
    </xf>
    <xf numFmtId="0" fontId="1" fillId="5" borderId="0" xfId="0" applyFont="1" applyFill="1" applyBorder="1" applyProtection="1">
      <protection hidden="1"/>
    </xf>
    <xf numFmtId="0" fontId="0" fillId="6" borderId="0" xfId="0" applyFill="1" applyBorder="1" applyAlignment="1" applyProtection="1">
      <alignment horizontal="right" vertical="top"/>
      <protection hidden="1"/>
    </xf>
    <xf numFmtId="0" fontId="1" fillId="6" borderId="23" xfId="0" applyFont="1" applyFill="1" applyBorder="1" applyProtection="1">
      <protection hidden="1"/>
    </xf>
    <xf numFmtId="0" fontId="17" fillId="6" borderId="22" xfId="0" applyFont="1" applyFill="1" applyBorder="1" applyProtection="1">
      <protection hidden="1"/>
    </xf>
    <xf numFmtId="0" fontId="17" fillId="6" borderId="0" xfId="0" applyFont="1" applyFill="1" applyBorder="1" applyProtection="1">
      <protection hidden="1"/>
    </xf>
    <xf numFmtId="0" fontId="8" fillId="6" borderId="0" xfId="0" applyFont="1" applyFill="1" applyBorder="1" applyProtection="1">
      <protection hidden="1"/>
    </xf>
    <xf numFmtId="0" fontId="1" fillId="6" borderId="24" xfId="0" applyFont="1" applyFill="1" applyBorder="1" applyProtection="1">
      <protection hidden="1"/>
    </xf>
    <xf numFmtId="0" fontId="1" fillId="6" borderId="31" xfId="0" applyFont="1" applyFill="1" applyBorder="1" applyProtection="1">
      <protection hidden="1"/>
    </xf>
    <xf numFmtId="0" fontId="1" fillId="6" borderId="32" xfId="0" applyFont="1" applyFill="1" applyBorder="1" applyProtection="1">
      <protection hidden="1"/>
    </xf>
    <xf numFmtId="0" fontId="1" fillId="6" borderId="17" xfId="0" applyFont="1" applyFill="1" applyBorder="1" applyProtection="1">
      <protection hidden="1"/>
    </xf>
    <xf numFmtId="0" fontId="1" fillId="11" borderId="22" xfId="0" applyFont="1" applyFill="1" applyBorder="1" applyProtection="1">
      <protection hidden="1"/>
    </xf>
    <xf numFmtId="0" fontId="1" fillId="11" borderId="0" xfId="0" applyFont="1" applyFill="1" applyBorder="1" applyProtection="1">
      <protection hidden="1"/>
    </xf>
    <xf numFmtId="0" fontId="0" fillId="18" borderId="1" xfId="0" applyFill="1" applyBorder="1" applyProtection="1">
      <protection hidden="1"/>
    </xf>
    <xf numFmtId="0" fontId="11" fillId="6" borderId="25" xfId="0" applyFont="1" applyFill="1" applyBorder="1" applyProtection="1">
      <protection hidden="1"/>
    </xf>
    <xf numFmtId="0" fontId="28" fillId="8" borderId="0" xfId="0" applyFont="1" applyFill="1" applyBorder="1" applyProtection="1">
      <protection hidden="1"/>
    </xf>
    <xf numFmtId="0" fontId="0" fillId="11" borderId="0" xfId="0" applyFill="1" applyBorder="1" applyProtection="1">
      <protection hidden="1"/>
    </xf>
    <xf numFmtId="0" fontId="0" fillId="12" borderId="1" xfId="0" applyFill="1" applyBorder="1" applyProtection="1">
      <protection hidden="1"/>
    </xf>
    <xf numFmtId="0" fontId="12" fillId="6" borderId="0" xfId="0" applyFont="1" applyFill="1" applyBorder="1" applyProtection="1">
      <protection hidden="1"/>
    </xf>
    <xf numFmtId="0" fontId="1" fillId="6" borderId="37" xfId="0" applyFont="1" applyFill="1" applyBorder="1" applyProtection="1">
      <protection hidden="1"/>
    </xf>
    <xf numFmtId="0" fontId="0" fillId="6" borderId="30" xfId="0" applyFill="1" applyBorder="1" applyProtection="1">
      <protection hidden="1"/>
    </xf>
    <xf numFmtId="0" fontId="13" fillId="11" borderId="1" xfId="0" applyFont="1" applyFill="1" applyBorder="1" applyAlignment="1" applyProtection="1">
      <alignment wrapText="1"/>
      <protection hidden="1"/>
    </xf>
    <xf numFmtId="0" fontId="1" fillId="6" borderId="30" xfId="0" applyFont="1" applyFill="1" applyBorder="1" applyProtection="1">
      <protection hidden="1"/>
    </xf>
    <xf numFmtId="0" fontId="0" fillId="15" borderId="1" xfId="0" applyFill="1" applyBorder="1" applyProtection="1">
      <protection hidden="1"/>
    </xf>
    <xf numFmtId="0" fontId="10" fillId="6" borderId="22" xfId="0" applyFont="1" applyFill="1" applyBorder="1" applyAlignment="1" applyProtection="1">
      <protection hidden="1"/>
    </xf>
    <xf numFmtId="0" fontId="0" fillId="6" borderId="1" xfId="0" applyFill="1" applyBorder="1" applyProtection="1">
      <protection hidden="1"/>
    </xf>
    <xf numFmtId="1" fontId="18" fillId="6" borderId="2" xfId="0" applyNumberFormat="1" applyFont="1" applyFill="1" applyBorder="1" applyProtection="1">
      <protection hidden="1"/>
    </xf>
    <xf numFmtId="0" fontId="6" fillId="8" borderId="0" xfId="0" applyFont="1" applyFill="1" applyBorder="1" applyAlignment="1" applyProtection="1">
      <protection hidden="1"/>
    </xf>
    <xf numFmtId="0" fontId="0" fillId="6" borderId="0" xfId="0" applyFill="1" applyBorder="1" applyAlignment="1" applyProtection="1">
      <protection hidden="1"/>
    </xf>
    <xf numFmtId="0" fontId="0" fillId="6" borderId="23" xfId="0" applyFill="1" applyBorder="1" applyAlignment="1" applyProtection="1">
      <protection hidden="1"/>
    </xf>
    <xf numFmtId="0" fontId="1" fillId="6" borderId="0" xfId="0" applyFont="1" applyFill="1" applyBorder="1" applyAlignment="1" applyProtection="1">
      <alignment horizontal="center"/>
      <protection hidden="1"/>
    </xf>
    <xf numFmtId="0" fontId="11" fillId="6" borderId="23" xfId="0" applyFont="1" applyFill="1" applyBorder="1" applyAlignment="1" applyProtection="1">
      <alignment vertical="top"/>
      <protection hidden="1"/>
    </xf>
    <xf numFmtId="0" fontId="9" fillId="6" borderId="30" xfId="0" applyFont="1" applyFill="1" applyBorder="1" applyProtection="1">
      <protection hidden="1"/>
    </xf>
    <xf numFmtId="0" fontId="1" fillId="11" borderId="0" xfId="0" applyFont="1" applyFill="1" applyBorder="1" applyAlignment="1" applyProtection="1">
      <alignment horizontal="right"/>
      <protection hidden="1"/>
    </xf>
    <xf numFmtId="0" fontId="29" fillId="6" borderId="0" xfId="0" applyFont="1" applyFill="1" applyBorder="1" applyProtection="1">
      <protection hidden="1"/>
    </xf>
    <xf numFmtId="0" fontId="8" fillId="6" borderId="22" xfId="0" applyFont="1" applyFill="1" applyBorder="1" applyAlignment="1" applyProtection="1">
      <alignment horizontal="right"/>
      <protection hidden="1"/>
    </xf>
    <xf numFmtId="0" fontId="0" fillId="12" borderId="1" xfId="0" applyFill="1" applyBorder="1" applyAlignment="1" applyProtection="1">
      <alignment horizontal="left" indent="1"/>
      <protection hidden="1"/>
    </xf>
    <xf numFmtId="0" fontId="0" fillId="6" borderId="7" xfId="0" applyFill="1" applyBorder="1" applyProtection="1">
      <protection hidden="1"/>
    </xf>
    <xf numFmtId="0" fontId="0" fillId="6" borderId="28" xfId="0" applyFill="1" applyBorder="1" applyProtection="1">
      <protection hidden="1"/>
    </xf>
    <xf numFmtId="0" fontId="8" fillId="6" borderId="27" xfId="0" applyFont="1" applyFill="1" applyBorder="1" applyAlignment="1" applyProtection="1">
      <alignment horizontal="right"/>
      <protection hidden="1"/>
    </xf>
    <xf numFmtId="0" fontId="0" fillId="12" borderId="43" xfId="0" applyFont="1" applyFill="1" applyBorder="1" applyAlignment="1" applyProtection="1">
      <alignment horizontal="left" indent="1"/>
      <protection hidden="1"/>
    </xf>
    <xf numFmtId="0" fontId="7" fillId="6" borderId="7" xfId="0" applyFont="1" applyFill="1" applyBorder="1" applyProtection="1">
      <protection hidden="1"/>
    </xf>
    <xf numFmtId="0" fontId="0" fillId="0" borderId="0" xfId="0" applyProtection="1">
      <protection hidden="1"/>
    </xf>
    <xf numFmtId="0" fontId="0" fillId="0" borderId="0" xfId="0" applyFill="1" applyBorder="1" applyProtection="1">
      <protection hidden="1"/>
    </xf>
    <xf numFmtId="0" fontId="21" fillId="6" borderId="16" xfId="0" applyFont="1" applyFill="1" applyBorder="1" applyAlignment="1" applyProtection="1">
      <alignment horizontal="center"/>
      <protection hidden="1"/>
    </xf>
    <xf numFmtId="0" fontId="3" fillId="2" borderId="0" xfId="0" applyFont="1" applyFill="1" applyProtection="1">
      <protection hidden="1"/>
    </xf>
    <xf numFmtId="0" fontId="0" fillId="2" borderId="0" xfId="0" applyFill="1" applyProtection="1">
      <protection hidden="1"/>
    </xf>
    <xf numFmtId="0" fontId="1" fillId="6" borderId="9" xfId="0" applyFont="1" applyFill="1" applyBorder="1" applyAlignment="1" applyProtection="1">
      <alignment horizontal="center" wrapText="1"/>
      <protection hidden="1"/>
    </xf>
    <xf numFmtId="0" fontId="0" fillId="0" borderId="0" xfId="0" applyFill="1" applyProtection="1">
      <protection hidden="1"/>
    </xf>
    <xf numFmtId="0" fontId="3" fillId="0" borderId="0" xfId="0" applyFont="1" applyFill="1" applyProtection="1">
      <protection hidden="1"/>
    </xf>
    <xf numFmtId="0" fontId="0" fillId="6" borderId="10" xfId="0" applyFill="1" applyBorder="1" applyProtection="1">
      <protection hidden="1"/>
    </xf>
    <xf numFmtId="0" fontId="0" fillId="6" borderId="13" xfId="0" applyFill="1" applyBorder="1" applyProtection="1">
      <protection hidden="1"/>
    </xf>
    <xf numFmtId="0" fontId="0" fillId="6" borderId="14" xfId="0" applyFill="1" applyBorder="1" applyProtection="1">
      <protection hidden="1"/>
    </xf>
    <xf numFmtId="0" fontId="0" fillId="3" borderId="0" xfId="0" applyFill="1" applyProtection="1">
      <protection hidden="1"/>
    </xf>
    <xf numFmtId="0" fontId="0" fillId="9" borderId="0" xfId="0" applyFill="1" applyProtection="1">
      <protection hidden="1"/>
    </xf>
    <xf numFmtId="0" fontId="0" fillId="10" borderId="0" xfId="0" applyFill="1" applyProtection="1">
      <protection hidden="1"/>
    </xf>
    <xf numFmtId="0" fontId="8" fillId="6" borderId="0" xfId="0" applyFont="1" applyFill="1" applyBorder="1" applyAlignment="1" applyProtection="1">
      <alignment horizontal="center" vertical="center" wrapText="1"/>
      <protection hidden="1"/>
    </xf>
    <xf numFmtId="0" fontId="1" fillId="8" borderId="1" xfId="0" applyFont="1" applyFill="1" applyBorder="1" applyProtection="1">
      <protection hidden="1"/>
    </xf>
    <xf numFmtId="0" fontId="1" fillId="7" borderId="1" xfId="0" applyFont="1" applyFill="1" applyBorder="1" applyAlignment="1" applyProtection="1">
      <alignment horizontal="center"/>
      <protection hidden="1"/>
    </xf>
    <xf numFmtId="0" fontId="1" fillId="8" borderId="1" xfId="0" applyFont="1" applyFill="1" applyBorder="1" applyAlignment="1" applyProtection="1">
      <alignment horizontal="center" wrapText="1"/>
      <protection hidden="1"/>
    </xf>
    <xf numFmtId="0" fontId="1" fillId="8" borderId="1" xfId="0" applyFont="1" applyFill="1" applyBorder="1" applyAlignment="1" applyProtection="1">
      <alignment horizontal="center"/>
      <protection hidden="1"/>
    </xf>
    <xf numFmtId="0" fontId="1" fillId="0" borderId="0" xfId="0" applyFont="1" applyFill="1" applyBorder="1" applyAlignment="1" applyProtection="1">
      <alignment wrapText="1"/>
      <protection hidden="1"/>
    </xf>
    <xf numFmtId="0" fontId="1" fillId="0" borderId="1" xfId="0" applyFont="1" applyFill="1" applyBorder="1" applyAlignment="1" applyProtection="1">
      <alignment wrapText="1"/>
      <protection hidden="1"/>
    </xf>
    <xf numFmtId="0" fontId="1" fillId="6" borderId="1" xfId="0" applyFont="1" applyFill="1" applyBorder="1" applyAlignment="1" applyProtection="1">
      <alignment wrapText="1"/>
      <protection hidden="1"/>
    </xf>
    <xf numFmtId="2" fontId="0" fillId="0" borderId="1" xfId="0" applyNumberFormat="1" applyBorder="1" applyProtection="1">
      <protection hidden="1"/>
    </xf>
    <xf numFmtId="0" fontId="16" fillId="6" borderId="1" xfId="0" applyFont="1" applyFill="1" applyBorder="1" applyProtection="1">
      <protection hidden="1"/>
    </xf>
    <xf numFmtId="2" fontId="0" fillId="0" borderId="0" xfId="0" applyNumberFormat="1" applyFill="1" applyBorder="1" applyProtection="1">
      <protection hidden="1"/>
    </xf>
    <xf numFmtId="0" fontId="1" fillId="0" borderId="0" xfId="0" applyFont="1"/>
    <xf numFmtId="164" fontId="1" fillId="0" borderId="0" xfId="0" applyNumberFormat="1" applyFont="1" applyFill="1" applyBorder="1"/>
    <xf numFmtId="1" fontId="0" fillId="0" borderId="0" xfId="0" applyNumberFormat="1" applyFill="1" applyBorder="1"/>
    <xf numFmtId="1" fontId="0" fillId="0" borderId="0" xfId="0" applyNumberFormat="1" applyFont="1" applyBorder="1"/>
    <xf numFmtId="2" fontId="6" fillId="6" borderId="1" xfId="0" applyNumberFormat="1" applyFont="1" applyFill="1" applyBorder="1" applyProtection="1">
      <protection hidden="1"/>
    </xf>
    <xf numFmtId="2" fontId="6" fillId="6" borderId="1" xfId="0" applyNumberFormat="1" applyFont="1" applyFill="1" applyBorder="1" applyAlignment="1" applyProtection="1">
      <alignment horizontal="left" vertical="top"/>
      <protection hidden="1"/>
    </xf>
    <xf numFmtId="0" fontId="0" fillId="6" borderId="0" xfId="0" applyFill="1" applyProtection="1">
      <protection hidden="1"/>
    </xf>
    <xf numFmtId="0" fontId="1" fillId="6" borderId="0" xfId="0" applyFont="1" applyFill="1" applyProtection="1">
      <protection hidden="1"/>
    </xf>
    <xf numFmtId="0" fontId="4" fillId="6" borderId="0" xfId="0" applyFont="1" applyFill="1" applyProtection="1">
      <protection hidden="1"/>
    </xf>
    <xf numFmtId="0" fontId="6" fillId="6" borderId="0" xfId="0" applyFont="1" applyFill="1" applyBorder="1" applyAlignment="1" applyProtection="1">
      <alignment horizontal="left"/>
      <protection hidden="1"/>
    </xf>
    <xf numFmtId="0" fontId="12" fillId="6" borderId="0" xfId="0" applyFont="1" applyFill="1" applyProtection="1">
      <protection hidden="1"/>
    </xf>
    <xf numFmtId="0" fontId="3" fillId="3" borderId="8" xfId="0" applyFont="1" applyFill="1" applyBorder="1" applyAlignment="1" applyProtection="1">
      <alignment horizontal="left"/>
      <protection hidden="1"/>
    </xf>
    <xf numFmtId="0" fontId="3" fillId="3" borderId="2" xfId="0" applyFont="1" applyFill="1" applyBorder="1" applyAlignment="1" applyProtection="1">
      <alignment horizontal="left"/>
      <protection hidden="1"/>
    </xf>
    <xf numFmtId="0" fontId="1" fillId="6" borderId="1" xfId="0" applyFont="1" applyFill="1" applyBorder="1" applyAlignment="1" applyProtection="1">
      <alignment horizontal="left" wrapText="1"/>
      <protection hidden="1"/>
    </xf>
    <xf numFmtId="0" fontId="1" fillId="6" borderId="8" xfId="0" applyFont="1" applyFill="1" applyBorder="1" applyAlignment="1" applyProtection="1">
      <alignment horizontal="left" wrapText="1"/>
      <protection hidden="1"/>
    </xf>
    <xf numFmtId="0" fontId="1" fillId="2" borderId="1" xfId="0" applyFont="1" applyFill="1" applyBorder="1" applyAlignment="1" applyProtection="1">
      <alignment horizontal="center"/>
      <protection hidden="1"/>
    </xf>
    <xf numFmtId="0" fontId="1" fillId="6" borderId="0" xfId="0" applyFont="1" applyFill="1" applyAlignment="1" applyProtection="1">
      <alignment horizontal="right"/>
      <protection hidden="1"/>
    </xf>
    <xf numFmtId="0" fontId="6" fillId="12" borderId="1" xfId="0" applyFont="1" applyFill="1" applyBorder="1" applyAlignment="1" applyProtection="1">
      <protection hidden="1"/>
    </xf>
    <xf numFmtId="0" fontId="6" fillId="12" borderId="1" xfId="0" applyFont="1" applyFill="1" applyBorder="1" applyAlignment="1" applyProtection="1">
      <alignment horizontal="left"/>
      <protection hidden="1"/>
    </xf>
    <xf numFmtId="9" fontId="0" fillId="6" borderId="1" xfId="0" applyNumberFormat="1" applyFill="1" applyBorder="1" applyAlignment="1" applyProtection="1">
      <alignment horizontal="left" indent="2"/>
      <protection hidden="1"/>
    </xf>
    <xf numFmtId="9" fontId="0" fillId="6" borderId="8" xfId="0" applyNumberFormat="1" applyFill="1" applyBorder="1" applyAlignment="1" applyProtection="1">
      <alignment horizontal="left" indent="2"/>
      <protection hidden="1"/>
    </xf>
    <xf numFmtId="0" fontId="1" fillId="16" borderId="1" xfId="0" applyFont="1" applyFill="1" applyBorder="1" applyAlignment="1" applyProtection="1">
      <alignment horizontal="center"/>
      <protection hidden="1"/>
    </xf>
    <xf numFmtId="0" fontId="1" fillId="11" borderId="1" xfId="0" applyFont="1" applyFill="1" applyBorder="1" applyAlignment="1" applyProtection="1">
      <alignment horizontal="center"/>
      <protection hidden="1"/>
    </xf>
    <xf numFmtId="0" fontId="18" fillId="12" borderId="1" xfId="0" applyFont="1" applyFill="1" applyBorder="1" applyProtection="1">
      <protection hidden="1"/>
    </xf>
    <xf numFmtId="0" fontId="3" fillId="4" borderId="8" xfId="0" applyFont="1" applyFill="1" applyBorder="1" applyAlignment="1" applyProtection="1">
      <alignment horizontal="left"/>
      <protection hidden="1"/>
    </xf>
    <xf numFmtId="0" fontId="3" fillId="4" borderId="2" xfId="0" applyFont="1" applyFill="1" applyBorder="1" applyAlignment="1" applyProtection="1">
      <alignment horizontal="center"/>
      <protection hidden="1"/>
    </xf>
    <xf numFmtId="0" fontId="0" fillId="6" borderId="1" xfId="0" applyFill="1" applyBorder="1" applyAlignment="1" applyProtection="1">
      <alignment horizontal="center"/>
      <protection hidden="1"/>
    </xf>
    <xf numFmtId="9" fontId="0" fillId="0" borderId="0" xfId="0" applyNumberFormat="1" applyFill="1" applyBorder="1" applyAlignment="1" applyProtection="1">
      <alignment horizontal="left" indent="2"/>
      <protection hidden="1"/>
    </xf>
    <xf numFmtId="0" fontId="1" fillId="16" borderId="0" xfId="0" applyFont="1" applyFill="1" applyBorder="1" applyAlignment="1" applyProtection="1">
      <alignment horizontal="center"/>
      <protection hidden="1"/>
    </xf>
    <xf numFmtId="0" fontId="20" fillId="0" borderId="0" xfId="0" applyFont="1" applyFill="1" applyProtection="1">
      <protection hidden="1"/>
    </xf>
    <xf numFmtId="0" fontId="2" fillId="6" borderId="1" xfId="0" applyFont="1" applyFill="1" applyBorder="1" applyProtection="1">
      <protection hidden="1"/>
    </xf>
    <xf numFmtId="0" fontId="2" fillId="6" borderId="0" xfId="0" applyFont="1" applyFill="1" applyProtection="1">
      <protection hidden="1"/>
    </xf>
    <xf numFmtId="0" fontId="26" fillId="6" borderId="23" xfId="0" applyFont="1" applyFill="1" applyBorder="1" applyAlignment="1" applyProtection="1">
      <alignment vertical="top" wrapText="1"/>
      <protection hidden="1"/>
    </xf>
    <xf numFmtId="2" fontId="1" fillId="13" borderId="1" xfId="0" applyNumberFormat="1" applyFont="1" applyFill="1" applyBorder="1" applyProtection="1">
      <protection locked="0" hidden="1"/>
    </xf>
    <xf numFmtId="2" fontId="1" fillId="14" borderId="1" xfId="0" applyNumberFormat="1" applyFont="1" applyFill="1" applyBorder="1" applyProtection="1"/>
    <xf numFmtId="2" fontId="1" fillId="13" borderId="1" xfId="0" applyNumberFormat="1" applyFont="1" applyFill="1" applyBorder="1" applyProtection="1"/>
    <xf numFmtId="0" fontId="1" fillId="6" borderId="27" xfId="0" applyFont="1" applyFill="1" applyBorder="1" applyProtection="1">
      <protection hidden="1"/>
    </xf>
    <xf numFmtId="0" fontId="1" fillId="6" borderId="28" xfId="0" applyFont="1" applyFill="1" applyBorder="1" applyProtection="1">
      <protection hidden="1"/>
    </xf>
    <xf numFmtId="0" fontId="9" fillId="6" borderId="22" xfId="0" applyFont="1" applyFill="1" applyBorder="1" applyProtection="1">
      <protection hidden="1"/>
    </xf>
    <xf numFmtId="0" fontId="8" fillId="6" borderId="0" xfId="0" applyFont="1" applyFill="1" applyProtection="1">
      <protection hidden="1"/>
    </xf>
    <xf numFmtId="0" fontId="1" fillId="12" borderId="1" xfId="0" applyFont="1" applyFill="1" applyBorder="1" applyProtection="1">
      <protection hidden="1"/>
    </xf>
    <xf numFmtId="0" fontId="30" fillId="6" borderId="0" xfId="0" applyFont="1" applyFill="1" applyProtection="1">
      <protection hidden="1"/>
    </xf>
    <xf numFmtId="0" fontId="9" fillId="4" borderId="0" xfId="0" applyFont="1" applyFill="1"/>
    <xf numFmtId="0" fontId="2" fillId="4" borderId="0" xfId="0" applyFont="1" applyFill="1"/>
    <xf numFmtId="2" fontId="0" fillId="13" borderId="1" xfId="0" applyNumberFormat="1" applyFill="1" applyBorder="1" applyProtection="1">
      <protection locked="0"/>
    </xf>
    <xf numFmtId="0" fontId="1" fillId="6" borderId="34" xfId="0" applyFont="1" applyFill="1" applyBorder="1" applyAlignment="1" applyProtection="1">
      <protection hidden="1"/>
    </xf>
    <xf numFmtId="1" fontId="6" fillId="6" borderId="43" xfId="0" applyNumberFormat="1" applyFont="1" applyFill="1" applyBorder="1" applyAlignment="1" applyProtection="1">
      <alignment horizontal="left" indent="1"/>
      <protection hidden="1"/>
    </xf>
    <xf numFmtId="0" fontId="0" fillId="0" borderId="0" xfId="0" applyFill="1" applyBorder="1" applyAlignment="1">
      <alignment horizontal="left" indent="1"/>
    </xf>
    <xf numFmtId="2" fontId="6" fillId="6" borderId="1" xfId="0" applyNumberFormat="1" applyFont="1" applyFill="1" applyBorder="1" applyAlignment="1" applyProtection="1">
      <alignment horizontal="left" indent="1"/>
      <protection hidden="1"/>
    </xf>
    <xf numFmtId="2" fontId="6" fillId="6" borderId="43" xfId="0" applyNumberFormat="1" applyFont="1" applyFill="1" applyBorder="1" applyAlignment="1" applyProtection="1">
      <alignment horizontal="left" indent="1"/>
      <protection hidden="1"/>
    </xf>
    <xf numFmtId="2" fontId="18" fillId="6" borderId="1" xfId="0" applyNumberFormat="1" applyFont="1" applyFill="1" applyBorder="1" applyAlignment="1" applyProtection="1">
      <alignment horizontal="left" indent="1"/>
      <protection hidden="1"/>
    </xf>
    <xf numFmtId="0" fontId="1" fillId="6" borderId="0" xfId="0" applyFont="1" applyFill="1" applyBorder="1" applyAlignment="1" applyProtection="1">
      <alignment horizontal="left"/>
      <protection hidden="1"/>
    </xf>
    <xf numFmtId="2" fontId="1" fillId="13" borderId="1" xfId="0" applyNumberFormat="1" applyFont="1" applyFill="1" applyBorder="1" applyProtection="1">
      <protection hidden="1"/>
    </xf>
    <xf numFmtId="0" fontId="6" fillId="0" borderId="0" xfId="0" applyFont="1" applyBorder="1"/>
    <xf numFmtId="0" fontId="2" fillId="6" borderId="18" xfId="0" applyFont="1" applyFill="1" applyBorder="1" applyProtection="1">
      <protection hidden="1"/>
    </xf>
    <xf numFmtId="0" fontId="0" fillId="6" borderId="18" xfId="0" applyFill="1" applyBorder="1" applyProtection="1">
      <protection hidden="1"/>
    </xf>
    <xf numFmtId="0" fontId="2" fillId="6" borderId="17" xfId="0" applyFont="1" applyFill="1" applyBorder="1" applyProtection="1">
      <protection hidden="1"/>
    </xf>
    <xf numFmtId="0" fontId="0" fillId="6" borderId="48" xfId="0" applyFill="1" applyBorder="1" applyProtection="1">
      <protection hidden="1"/>
    </xf>
    <xf numFmtId="0" fontId="7" fillId="6" borderId="18" xfId="0" applyFont="1" applyFill="1" applyBorder="1" applyProtection="1">
      <protection hidden="1"/>
    </xf>
    <xf numFmtId="0" fontId="1" fillId="6" borderId="8" xfId="0" applyFont="1" applyFill="1" applyBorder="1" applyAlignment="1" applyProtection="1">
      <alignment horizontal="center"/>
      <protection hidden="1"/>
    </xf>
    <xf numFmtId="0" fontId="1" fillId="6" borderId="3" xfId="0" applyFont="1" applyFill="1" applyBorder="1" applyAlignment="1" applyProtection="1">
      <alignment horizontal="center"/>
      <protection hidden="1"/>
    </xf>
    <xf numFmtId="1" fontId="6" fillId="6" borderId="0" xfId="0" applyNumberFormat="1" applyFont="1" applyFill="1" applyBorder="1" applyAlignment="1" applyProtection="1">
      <alignment horizontal="left" indent="2"/>
      <protection hidden="1"/>
    </xf>
    <xf numFmtId="0" fontId="1" fillId="6" borderId="4" xfId="0" applyFont="1" applyFill="1" applyBorder="1" applyAlignment="1" applyProtection="1">
      <alignment horizontal="center"/>
      <protection hidden="1"/>
    </xf>
    <xf numFmtId="0" fontId="1" fillId="6" borderId="26" xfId="0" applyFont="1" applyFill="1" applyBorder="1" applyAlignment="1" applyProtection="1">
      <alignment horizontal="left" indent="2"/>
      <protection hidden="1"/>
    </xf>
    <xf numFmtId="0" fontId="1" fillId="6" borderId="4" xfId="0" applyFont="1" applyFill="1" applyBorder="1" applyAlignment="1" applyProtection="1">
      <alignment horizontal="left" indent="2"/>
      <protection hidden="1"/>
    </xf>
    <xf numFmtId="0" fontId="0" fillId="0" borderId="0" xfId="0" applyAlignment="1">
      <alignment horizontal="center"/>
    </xf>
    <xf numFmtId="0" fontId="11" fillId="6" borderId="0" xfId="0" applyFont="1" applyFill="1" applyBorder="1" applyAlignment="1" applyProtection="1">
      <protection hidden="1"/>
    </xf>
    <xf numFmtId="1" fontId="6" fillId="6" borderId="0" xfId="0" applyNumberFormat="1" applyFont="1" applyFill="1" applyBorder="1" applyAlignment="1" applyProtection="1">
      <protection hidden="1"/>
    </xf>
    <xf numFmtId="0" fontId="0" fillId="6" borderId="0" xfId="0" applyFill="1" applyBorder="1" applyAlignment="1" applyProtection="1">
      <alignment vertical="top" wrapText="1"/>
      <protection hidden="1"/>
    </xf>
    <xf numFmtId="0" fontId="5" fillId="8" borderId="0" xfId="0" applyFont="1" applyFill="1" applyBorder="1" applyAlignment="1" applyProtection="1">
      <protection hidden="1"/>
    </xf>
    <xf numFmtId="1" fontId="33" fillId="8" borderId="0" xfId="0" applyNumberFormat="1" applyFont="1" applyFill="1" applyBorder="1" applyAlignment="1" applyProtection="1">
      <protection hidden="1"/>
    </xf>
    <xf numFmtId="0" fontId="5" fillId="8" borderId="22" xfId="0" applyFont="1" applyFill="1" applyBorder="1"/>
    <xf numFmtId="0" fontId="5" fillId="8" borderId="0" xfId="0" applyFont="1" applyFill="1" applyBorder="1"/>
    <xf numFmtId="0" fontId="0" fillId="6" borderId="22" xfId="0" applyFill="1" applyBorder="1" applyAlignment="1">
      <alignment horizontal="left" indent="2"/>
    </xf>
    <xf numFmtId="0" fontId="0" fillId="6" borderId="23" xfId="0" applyFill="1" applyBorder="1" applyAlignment="1" applyProtection="1">
      <alignment vertical="top" wrapText="1"/>
      <protection hidden="1"/>
    </xf>
    <xf numFmtId="0" fontId="0" fillId="6" borderId="7" xfId="0" applyFill="1" applyBorder="1" applyAlignment="1" applyProtection="1">
      <alignment vertical="top" wrapText="1"/>
      <protection hidden="1"/>
    </xf>
    <xf numFmtId="0" fontId="0" fillId="6" borderId="28" xfId="0" applyFill="1" applyBorder="1" applyAlignment="1" applyProtection="1">
      <alignment vertical="top" wrapText="1"/>
      <protection hidden="1"/>
    </xf>
    <xf numFmtId="0" fontId="9" fillId="6" borderId="4" xfId="0" applyFont="1" applyFill="1" applyBorder="1"/>
    <xf numFmtId="0" fontId="0" fillId="6" borderId="17" xfId="0" applyFill="1" applyBorder="1"/>
    <xf numFmtId="0" fontId="1" fillId="6" borderId="37" xfId="0" applyFont="1" applyFill="1" applyBorder="1"/>
    <xf numFmtId="1" fontId="9" fillId="6" borderId="0" xfId="0" applyNumberFormat="1" applyFont="1" applyFill="1" applyBorder="1" applyAlignment="1" applyProtection="1">
      <alignment horizontal="left"/>
      <protection hidden="1"/>
    </xf>
    <xf numFmtId="0" fontId="5" fillId="6" borderId="37" xfId="0" applyFont="1" applyFill="1" applyBorder="1" applyProtection="1">
      <protection hidden="1"/>
    </xf>
    <xf numFmtId="0" fontId="11" fillId="6" borderId="17" xfId="0" applyFont="1" applyFill="1" applyBorder="1" applyAlignment="1" applyProtection="1">
      <alignment horizontal="left" indent="2"/>
      <protection hidden="1"/>
    </xf>
    <xf numFmtId="1" fontId="6" fillId="6" borderId="17" xfId="0" applyNumberFormat="1" applyFont="1" applyFill="1" applyBorder="1" applyAlignment="1" applyProtection="1">
      <alignment horizontal="left" indent="1"/>
      <protection hidden="1"/>
    </xf>
    <xf numFmtId="1" fontId="6" fillId="6" borderId="17" xfId="0" applyNumberFormat="1" applyFont="1" applyFill="1" applyBorder="1" applyAlignment="1" applyProtection="1">
      <alignment horizontal="left" indent="2"/>
      <protection hidden="1"/>
    </xf>
    <xf numFmtId="0" fontId="0" fillId="6" borderId="20" xfId="0" applyFill="1" applyBorder="1"/>
    <xf numFmtId="0" fontId="0" fillId="6" borderId="6" xfId="0" applyFill="1" applyBorder="1"/>
    <xf numFmtId="0" fontId="0" fillId="6" borderId="21" xfId="0" applyFill="1" applyBorder="1"/>
    <xf numFmtId="0" fontId="31" fillId="8" borderId="22" xfId="0" applyFont="1" applyFill="1" applyBorder="1"/>
    <xf numFmtId="0" fontId="32" fillId="8" borderId="0" xfId="0" applyFont="1" applyFill="1" applyBorder="1"/>
    <xf numFmtId="0" fontId="0" fillId="6" borderId="23" xfId="0" applyFill="1" applyBorder="1"/>
    <xf numFmtId="0" fontId="0" fillId="6" borderId="27" xfId="0" applyFill="1" applyBorder="1"/>
    <xf numFmtId="0" fontId="0" fillId="6" borderId="7" xfId="0" applyFill="1" applyBorder="1"/>
    <xf numFmtId="0" fontId="0" fillId="6" borderId="28" xfId="0" applyFill="1" applyBorder="1"/>
    <xf numFmtId="1" fontId="9" fillId="6" borderId="4" xfId="0" applyNumberFormat="1" applyFont="1" applyFill="1" applyBorder="1" applyAlignment="1" applyProtection="1">
      <alignment horizontal="left"/>
      <protection hidden="1"/>
    </xf>
    <xf numFmtId="1" fontId="34" fillId="6" borderId="0" xfId="0" applyNumberFormat="1" applyFont="1" applyFill="1" applyBorder="1" applyAlignment="1">
      <alignment horizontal="left" indent="1"/>
    </xf>
    <xf numFmtId="1" fontId="35" fillId="6" borderId="0" xfId="0" applyNumberFormat="1" applyFont="1" applyFill="1" applyBorder="1"/>
    <xf numFmtId="1" fontId="34" fillId="6" borderId="17" xfId="0" applyNumberFormat="1" applyFont="1" applyFill="1" applyBorder="1" applyAlignment="1">
      <alignment horizontal="left" indent="1"/>
    </xf>
    <xf numFmtId="0" fontId="35" fillId="6" borderId="17" xfId="0" applyFont="1" applyFill="1" applyBorder="1"/>
    <xf numFmtId="2" fontId="34" fillId="6" borderId="0" xfId="0" applyNumberFormat="1" applyFont="1" applyFill="1" applyBorder="1" applyProtection="1">
      <protection hidden="1"/>
    </xf>
    <xf numFmtId="1" fontId="34" fillId="6" borderId="17" xfId="0" applyNumberFormat="1" applyFont="1" applyFill="1" applyBorder="1" applyAlignment="1" applyProtection="1">
      <alignment horizontal="left" indent="1"/>
      <protection hidden="1"/>
    </xf>
    <xf numFmtId="0" fontId="0" fillId="6" borderId="25" xfId="0" applyFont="1" applyFill="1" applyBorder="1" applyProtection="1">
      <protection hidden="1"/>
    </xf>
    <xf numFmtId="1" fontId="9" fillId="6" borderId="46" xfId="0" applyNumberFormat="1" applyFont="1" applyFill="1" applyBorder="1" applyAlignment="1" applyProtection="1">
      <alignment horizontal="left"/>
      <protection hidden="1"/>
    </xf>
    <xf numFmtId="0" fontId="0" fillId="6" borderId="35" xfId="0" applyFill="1" applyBorder="1" applyProtection="1">
      <protection hidden="1"/>
    </xf>
    <xf numFmtId="0" fontId="0" fillId="6" borderId="35" xfId="0" applyFill="1" applyBorder="1" applyAlignment="1" applyProtection="1">
      <alignment vertical="top" wrapText="1"/>
      <protection hidden="1"/>
    </xf>
    <xf numFmtId="0" fontId="1" fillId="6" borderId="49" xfId="0" applyFont="1" applyFill="1" applyBorder="1" applyProtection="1">
      <protection hidden="1"/>
    </xf>
    <xf numFmtId="0" fontId="0" fillId="6" borderId="4" xfId="0" applyFill="1" applyBorder="1" applyProtection="1">
      <protection hidden="1"/>
    </xf>
    <xf numFmtId="0" fontId="0" fillId="6" borderId="40" xfId="0" applyFill="1" applyBorder="1" applyAlignment="1" applyProtection="1">
      <alignment vertical="top" wrapText="1"/>
      <protection hidden="1"/>
    </xf>
    <xf numFmtId="0" fontId="0" fillId="6" borderId="27" xfId="0" applyFill="1" applyBorder="1" applyAlignment="1">
      <alignment horizontal="left" indent="2"/>
    </xf>
    <xf numFmtId="2" fontId="34" fillId="6" borderId="7" xfId="0" applyNumberFormat="1" applyFont="1" applyFill="1" applyBorder="1" applyProtection="1">
      <protection hidden="1"/>
    </xf>
    <xf numFmtId="0" fontId="0" fillId="6" borderId="47" xfId="0" applyFill="1" applyBorder="1" applyAlignment="1" applyProtection="1">
      <alignment vertical="top" wrapText="1"/>
      <protection hidden="1"/>
    </xf>
    <xf numFmtId="0" fontId="6" fillId="6" borderId="0" xfId="0" applyFont="1" applyFill="1" applyBorder="1" applyAlignment="1" applyProtection="1">
      <alignment horizontal="left" vertical="top" wrapText="1" indent="2"/>
      <protection hidden="1"/>
    </xf>
    <xf numFmtId="0" fontId="6" fillId="6" borderId="7" xfId="0" applyFont="1" applyFill="1" applyBorder="1" applyAlignment="1" applyProtection="1">
      <alignment horizontal="left" vertical="top" wrapText="1" indent="2"/>
      <protection hidden="1"/>
    </xf>
    <xf numFmtId="0" fontId="1" fillId="6" borderId="8" xfId="0" applyFont="1" applyFill="1" applyBorder="1" applyAlignment="1" applyProtection="1">
      <alignment horizontal="center"/>
      <protection hidden="1"/>
    </xf>
    <xf numFmtId="0" fontId="1" fillId="6" borderId="3" xfId="0" applyFont="1" applyFill="1" applyBorder="1" applyAlignment="1" applyProtection="1">
      <alignment horizontal="center"/>
      <protection hidden="1"/>
    </xf>
    <xf numFmtId="0" fontId="2" fillId="6" borderId="4" xfId="0" applyFont="1" applyFill="1" applyBorder="1" applyAlignment="1" applyProtection="1">
      <alignment horizontal="center"/>
      <protection hidden="1"/>
    </xf>
    <xf numFmtId="49" fontId="6" fillId="12" borderId="4" xfId="0" applyNumberFormat="1" applyFont="1" applyFill="1" applyBorder="1" applyAlignment="1" applyProtection="1">
      <alignment horizontal="left"/>
      <protection hidden="1"/>
    </xf>
    <xf numFmtId="49" fontId="6" fillId="12" borderId="2" xfId="0" applyNumberFormat="1" applyFont="1" applyFill="1" applyBorder="1" applyAlignment="1" applyProtection="1">
      <alignment horizontal="left"/>
      <protection hidden="1"/>
    </xf>
    <xf numFmtId="0" fontId="1" fillId="0" borderId="0" xfId="0" applyFont="1" applyFill="1" applyBorder="1" applyAlignment="1" applyProtection="1">
      <alignment horizontal="center"/>
      <protection hidden="1"/>
    </xf>
    <xf numFmtId="0" fontId="15" fillId="2" borderId="0" xfId="0" applyFont="1" applyFill="1" applyAlignment="1" applyProtection="1">
      <alignment horizontal="center"/>
      <protection hidden="1"/>
    </xf>
    <xf numFmtId="0" fontId="1" fillId="8" borderId="0" xfId="0" applyFont="1" applyFill="1" applyBorder="1" applyAlignment="1" applyProtection="1">
      <alignment horizontal="center"/>
      <protection hidden="1"/>
    </xf>
    <xf numFmtId="0" fontId="1" fillId="6" borderId="11" xfId="0" applyFont="1" applyFill="1" applyBorder="1" applyAlignment="1" applyProtection="1">
      <alignment horizontal="center" wrapText="1"/>
      <protection hidden="1"/>
    </xf>
    <xf numFmtId="0" fontId="1" fillId="6" borderId="12" xfId="0" applyFont="1" applyFill="1" applyBorder="1" applyAlignment="1" applyProtection="1">
      <alignment horizontal="center"/>
      <protection hidden="1"/>
    </xf>
    <xf numFmtId="0" fontId="1" fillId="6" borderId="15" xfId="0" applyFont="1" applyFill="1" applyBorder="1" applyAlignment="1" applyProtection="1">
      <alignment horizontal="center"/>
      <protection hidden="1"/>
    </xf>
    <xf numFmtId="0" fontId="14" fillId="6" borderId="13" xfId="0" applyFont="1" applyFill="1" applyBorder="1" applyAlignment="1" applyProtection="1">
      <alignment horizontal="center"/>
      <protection hidden="1"/>
    </xf>
    <xf numFmtId="0" fontId="14" fillId="6" borderId="16" xfId="0" applyFont="1" applyFill="1" applyBorder="1" applyAlignment="1" applyProtection="1">
      <alignment horizontal="center"/>
      <protection hidden="1"/>
    </xf>
    <xf numFmtId="0" fontId="14" fillId="6" borderId="14" xfId="0" applyFont="1" applyFill="1" applyBorder="1" applyAlignment="1" applyProtection="1">
      <alignment horizontal="center"/>
      <protection hidden="1"/>
    </xf>
    <xf numFmtId="0" fontId="21" fillId="6" borderId="16" xfId="0" applyFont="1" applyFill="1" applyBorder="1" applyAlignment="1" applyProtection="1">
      <alignment horizontal="center"/>
      <protection hidden="1"/>
    </xf>
    <xf numFmtId="0" fontId="1" fillId="6" borderId="44" xfId="0" applyFont="1" applyFill="1" applyBorder="1" applyAlignment="1" applyProtection="1">
      <alignment horizontal="right"/>
      <protection hidden="1"/>
    </xf>
    <xf numFmtId="0" fontId="1" fillId="6" borderId="47" xfId="0" applyFont="1" applyFill="1" applyBorder="1" applyAlignment="1" applyProtection="1">
      <alignment horizontal="right"/>
      <protection hidden="1"/>
    </xf>
    <xf numFmtId="0" fontId="0" fillId="6" borderId="34" xfId="0" applyFill="1" applyBorder="1" applyAlignment="1" applyProtection="1">
      <alignment horizontal="right"/>
      <protection hidden="1"/>
    </xf>
    <xf numFmtId="0" fontId="0" fillId="6" borderId="0" xfId="0" applyFill="1" applyBorder="1" applyAlignment="1" applyProtection="1">
      <alignment horizontal="right"/>
      <protection hidden="1"/>
    </xf>
    <xf numFmtId="0" fontId="11" fillId="6" borderId="22" xfId="0" applyFont="1" applyFill="1" applyBorder="1" applyAlignment="1">
      <alignment horizontal="left" indent="2"/>
    </xf>
    <xf numFmtId="0" fontId="11" fillId="6" borderId="0" xfId="0" applyFont="1" applyFill="1" applyBorder="1" applyAlignment="1">
      <alignment horizontal="left" indent="2"/>
    </xf>
    <xf numFmtId="0" fontId="0" fillId="6" borderId="35" xfId="0" applyFill="1" applyBorder="1" applyAlignment="1" applyProtection="1">
      <alignment horizontal="right"/>
      <protection hidden="1"/>
    </xf>
    <xf numFmtId="0" fontId="26" fillId="6" borderId="38" xfId="0" applyFont="1" applyFill="1" applyBorder="1" applyAlignment="1" applyProtection="1">
      <alignment horizontal="left" vertical="top" wrapText="1"/>
      <protection hidden="1"/>
    </xf>
    <xf numFmtId="0" fontId="26" fillId="6" borderId="36" xfId="0" applyFont="1" applyFill="1" applyBorder="1" applyAlignment="1" applyProtection="1">
      <alignment horizontal="left" vertical="top" wrapText="1"/>
      <protection hidden="1"/>
    </xf>
    <xf numFmtId="0" fontId="26" fillId="6" borderId="39" xfId="0" applyFont="1" applyFill="1" applyBorder="1" applyAlignment="1" applyProtection="1">
      <alignment horizontal="left" vertical="top" wrapText="1"/>
      <protection hidden="1"/>
    </xf>
    <xf numFmtId="0" fontId="26" fillId="6" borderId="22" xfId="0" applyFont="1" applyFill="1" applyBorder="1" applyAlignment="1" applyProtection="1">
      <alignment horizontal="left" vertical="top" wrapText="1"/>
      <protection hidden="1"/>
    </xf>
    <xf numFmtId="0" fontId="26" fillId="6" borderId="0" xfId="0" applyFont="1" applyFill="1" applyBorder="1" applyAlignment="1" applyProtection="1">
      <alignment horizontal="left" vertical="top" wrapText="1"/>
      <protection hidden="1"/>
    </xf>
    <xf numFmtId="0" fontId="26" fillId="6" borderId="23" xfId="0" applyFont="1" applyFill="1" applyBorder="1" applyAlignment="1" applyProtection="1">
      <alignment horizontal="left" vertical="top" wrapText="1"/>
      <protection hidden="1"/>
    </xf>
    <xf numFmtId="0" fontId="26" fillId="6" borderId="26" xfId="0" applyFont="1" applyFill="1" applyBorder="1" applyAlignment="1" applyProtection="1">
      <alignment horizontal="left" vertical="top" wrapText="1"/>
      <protection hidden="1"/>
    </xf>
    <xf numFmtId="0" fontId="26" fillId="6" borderId="4" xfId="0" applyFont="1" applyFill="1" applyBorder="1" applyAlignment="1" applyProtection="1">
      <alignment horizontal="left" vertical="top" wrapText="1"/>
      <protection hidden="1"/>
    </xf>
    <xf numFmtId="0" fontId="26" fillId="6" borderId="40" xfId="0" applyFont="1" applyFill="1" applyBorder="1" applyAlignment="1" applyProtection="1">
      <alignment horizontal="left" vertical="top" wrapText="1"/>
      <protection hidden="1"/>
    </xf>
    <xf numFmtId="0" fontId="23" fillId="6" borderId="38" xfId="0" applyFont="1" applyFill="1" applyBorder="1" applyAlignment="1" applyProtection="1">
      <alignment horizontal="left" vertical="top" wrapText="1"/>
      <protection hidden="1"/>
    </xf>
    <xf numFmtId="0" fontId="25" fillId="6" borderId="36" xfId="0" applyFont="1" applyFill="1" applyBorder="1" applyAlignment="1" applyProtection="1">
      <alignment horizontal="left" vertical="top" wrapText="1"/>
      <protection hidden="1"/>
    </xf>
    <xf numFmtId="0" fontId="25" fillId="6" borderId="39" xfId="0" applyFont="1" applyFill="1" applyBorder="1" applyAlignment="1" applyProtection="1">
      <alignment horizontal="left" vertical="top" wrapText="1"/>
      <protection hidden="1"/>
    </xf>
    <xf numFmtId="0" fontId="25" fillId="6" borderId="26" xfId="0" applyFont="1" applyFill="1" applyBorder="1" applyAlignment="1" applyProtection="1">
      <alignment horizontal="left" vertical="top" wrapText="1"/>
      <protection hidden="1"/>
    </xf>
    <xf numFmtId="0" fontId="25" fillId="6" borderId="4" xfId="0" applyFont="1" applyFill="1" applyBorder="1" applyAlignment="1" applyProtection="1">
      <alignment horizontal="left" vertical="top" wrapText="1"/>
      <protection hidden="1"/>
    </xf>
    <xf numFmtId="0" fontId="25" fillId="6" borderId="40" xfId="0" applyFont="1" applyFill="1" applyBorder="1" applyAlignment="1" applyProtection="1">
      <alignment horizontal="left" vertical="top" wrapText="1"/>
      <protection hidden="1"/>
    </xf>
    <xf numFmtId="0" fontId="1" fillId="6" borderId="26" xfId="0" applyFont="1" applyFill="1" applyBorder="1" applyAlignment="1" applyProtection="1">
      <alignment horizontal="left" indent="2"/>
      <protection hidden="1"/>
    </xf>
    <xf numFmtId="0" fontId="1" fillId="6" borderId="4" xfId="0" applyFont="1" applyFill="1" applyBorder="1" applyAlignment="1" applyProtection="1">
      <alignment horizontal="left" indent="2"/>
      <protection hidden="1"/>
    </xf>
    <xf numFmtId="0" fontId="11" fillId="6" borderId="38" xfId="0" applyFont="1" applyFill="1" applyBorder="1" applyAlignment="1">
      <alignment horizontal="left" indent="2"/>
    </xf>
    <xf numFmtId="0" fontId="11" fillId="6" borderId="36" xfId="0" applyFont="1" applyFill="1" applyBorder="1" applyAlignment="1">
      <alignment horizontal="left" indent="2"/>
    </xf>
    <xf numFmtId="0" fontId="0" fillId="6" borderId="22" xfId="0" applyFill="1" applyBorder="1" applyAlignment="1">
      <alignment horizontal="left" indent="2"/>
    </xf>
    <xf numFmtId="0" fontId="0" fillId="6" borderId="0" xfId="0" applyFill="1" applyBorder="1" applyAlignment="1">
      <alignment horizontal="left" indent="2"/>
    </xf>
    <xf numFmtId="0" fontId="24" fillId="6" borderId="42" xfId="0" applyFont="1" applyFill="1" applyBorder="1" applyAlignment="1" applyProtection="1">
      <alignment horizontal="left"/>
      <protection hidden="1"/>
    </xf>
    <xf numFmtId="0" fontId="23" fillId="6" borderId="2" xfId="0" applyFont="1" applyFill="1" applyBorder="1" applyAlignment="1" applyProtection="1">
      <alignment horizontal="left"/>
      <protection hidden="1"/>
    </xf>
    <xf numFmtId="0" fontId="23" fillId="6" borderId="3" xfId="0" applyFont="1" applyFill="1" applyBorder="1" applyAlignment="1" applyProtection="1">
      <alignment horizontal="left"/>
      <protection hidden="1"/>
    </xf>
    <xf numFmtId="0" fontId="6" fillId="6" borderId="4" xfId="0" applyFont="1" applyFill="1" applyBorder="1" applyAlignment="1" applyProtection="1">
      <alignment horizontal="left"/>
      <protection hidden="1"/>
    </xf>
    <xf numFmtId="15" fontId="6" fillId="6" borderId="4" xfId="0" applyNumberFormat="1" applyFont="1" applyFill="1" applyBorder="1" applyAlignment="1" applyProtection="1">
      <alignment horizontal="left"/>
      <protection hidden="1"/>
    </xf>
    <xf numFmtId="0" fontId="0" fillId="6" borderId="22" xfId="0" applyFill="1" applyBorder="1" applyAlignment="1" applyProtection="1">
      <alignment horizontal="left" wrapText="1"/>
      <protection hidden="1"/>
    </xf>
    <xf numFmtId="0" fontId="0" fillId="6" borderId="0" xfId="0" applyFill="1" applyBorder="1" applyAlignment="1" applyProtection="1">
      <alignment horizontal="left" wrapText="1"/>
      <protection hidden="1"/>
    </xf>
    <xf numFmtId="0" fontId="26" fillId="6" borderId="45" xfId="0" applyFont="1" applyFill="1" applyBorder="1" applyAlignment="1" applyProtection="1">
      <alignment horizontal="left" vertical="top" wrapText="1"/>
      <protection hidden="1"/>
    </xf>
    <xf numFmtId="0" fontId="26" fillId="6" borderId="46" xfId="0" applyFont="1" applyFill="1" applyBorder="1" applyAlignment="1" applyProtection="1">
      <alignment horizontal="left" vertical="top" wrapText="1"/>
      <protection hidden="1"/>
    </xf>
    <xf numFmtId="0" fontId="9" fillId="6" borderId="26" xfId="0" applyFont="1" applyFill="1" applyBorder="1" applyAlignment="1">
      <alignment horizontal="left" indent="2"/>
    </xf>
    <xf numFmtId="0" fontId="9" fillId="6" borderId="4" xfId="0" applyFont="1" applyFill="1" applyBorder="1" applyAlignment="1">
      <alignment horizontal="left" indent="2"/>
    </xf>
    <xf numFmtId="0" fontId="0" fillId="0" borderId="0" xfId="0" applyAlignment="1">
      <alignment horizontal="center"/>
    </xf>
  </cellXfs>
  <cellStyles count="1">
    <cellStyle name="Normal" xfId="0" builtinId="0"/>
  </cellStyles>
  <dxfs count="53"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FF0000"/>
      </font>
    </dxf>
    <dxf>
      <font>
        <color rgb="FFF93D58"/>
      </font>
    </dxf>
    <dxf>
      <font>
        <color rgb="FFFF0000"/>
      </font>
    </dxf>
    <dxf>
      <font>
        <color rgb="FFFF4F4F"/>
      </font>
    </dxf>
    <dxf>
      <font>
        <b/>
        <i val="0"/>
        <color rgb="FFFF0000"/>
      </font>
    </dxf>
    <dxf>
      <font>
        <color rgb="FFFF0000"/>
      </font>
    </dxf>
    <dxf>
      <font>
        <color theme="0"/>
      </font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left/>
        <right/>
        <top style="thin">
          <color auto="1"/>
        </top>
        <bottom/>
        <vertical/>
        <horizontal/>
      </border>
    </dxf>
    <dxf>
      <font>
        <color theme="0"/>
      </font>
    </dxf>
    <dxf>
      <font>
        <b/>
        <i val="0"/>
        <color rgb="FFFF0000"/>
      </font>
    </dxf>
    <dxf>
      <font>
        <color theme="0"/>
      </font>
      <border>
        <vertical/>
        <horizontal/>
      </border>
    </dxf>
    <dxf>
      <border>
        <left/>
        <right/>
        <top/>
        <bottom/>
        <vertical/>
        <horizontal/>
      </border>
    </dxf>
    <dxf>
      <font>
        <color rgb="FFFF0000"/>
      </font>
    </dxf>
    <dxf>
      <font>
        <b/>
        <i val="0"/>
        <color rgb="FFFF000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b/>
        <i val="0"/>
        <color auto="1"/>
      </font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strike/>
      </font>
    </dxf>
    <dxf>
      <fill>
        <patternFill patternType="none">
          <bgColor auto="1"/>
        </patternFill>
      </fill>
    </dxf>
    <dxf>
      <fill>
        <patternFill>
          <bgColor theme="0" tint="-4.9989318521683403E-2"/>
        </patternFill>
      </fill>
    </dxf>
    <dxf>
      <fill>
        <patternFill>
          <bgColor theme="0"/>
        </patternFill>
      </fill>
    </dxf>
    <dxf>
      <font>
        <b/>
        <i val="0"/>
      </font>
      <fill>
        <patternFill>
          <bgColor rgb="FF92D050"/>
        </patternFill>
      </fill>
    </dxf>
    <dxf>
      <fill>
        <patternFill>
          <bgColor theme="0"/>
        </patternFill>
      </fill>
    </dxf>
    <dxf>
      <font>
        <b val="0"/>
        <i val="0"/>
        <color auto="1"/>
      </font>
    </dxf>
    <dxf>
      <font>
        <color theme="0"/>
      </font>
    </dxf>
    <dxf>
      <fill>
        <patternFill>
          <bgColor theme="0"/>
        </patternFill>
      </fill>
    </dxf>
    <dxf>
      <fill>
        <patternFill patternType="darkUp"/>
      </fill>
    </dxf>
    <dxf>
      <fill>
        <patternFill>
          <bgColor theme="0"/>
        </patternFill>
      </fill>
    </dxf>
    <dxf>
      <font>
        <color auto="1"/>
      </font>
    </dxf>
    <dxf>
      <font>
        <b/>
        <i val="0"/>
        <color auto="1"/>
      </font>
    </dxf>
    <dxf>
      <font>
        <b val="0"/>
        <i val="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auto="1"/>
      </font>
      <fill>
        <patternFill>
          <bgColor theme="0"/>
        </patternFill>
      </fill>
    </dxf>
  </dxfs>
  <tableStyles count="0" defaultTableStyle="TableStyleMedium9" defaultPivotStyle="PivotStyleLight16"/>
  <colors>
    <mruColors>
      <color rgb="FFF93D58"/>
      <color rgb="FFFF4F4F"/>
      <color rgb="FFFFCCFF"/>
      <color rgb="FF99FF99"/>
      <color rgb="FFFFFFCC"/>
      <color rgb="FF89E0FF"/>
      <color rgb="FFB889D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3.jpeg"/><Relationship Id="rId1" Type="http://schemas.openxmlformats.org/officeDocument/2006/relationships/image" Target="../media/image2.jpeg"/><Relationship Id="rId5" Type="http://schemas.openxmlformats.org/officeDocument/2006/relationships/image" Target="../media/image6.png"/><Relationship Id="rId4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25977</xdr:colOff>
      <xdr:row>12</xdr:row>
      <xdr:rowOff>38966</xdr:rowOff>
    </xdr:from>
    <xdr:to>
      <xdr:col>5</xdr:col>
      <xdr:colOff>136292</xdr:colOff>
      <xdr:row>24</xdr:row>
      <xdr:rowOff>19915</xdr:rowOff>
    </xdr:to>
    <xdr:pic>
      <xdr:nvPicPr>
        <xdr:cNvPr id="2" name="Picture 1" descr="DSC_0213.JP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 t="26297" r="55452" b="41779"/>
        <a:stretch>
          <a:fillRect/>
        </a:stretch>
      </xdr:blipFill>
      <xdr:spPr>
        <a:xfrm>
          <a:off x="25977" y="2922443"/>
          <a:ext cx="4136792" cy="234488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11</xdr:col>
      <xdr:colOff>76199</xdr:colOff>
      <xdr:row>0</xdr:row>
      <xdr:rowOff>209551</xdr:rowOff>
    </xdr:from>
    <xdr:to>
      <xdr:col>14</xdr:col>
      <xdr:colOff>314325</xdr:colOff>
      <xdr:row>5</xdr:row>
      <xdr:rowOff>104775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9877424" y="209551"/>
          <a:ext cx="2371726" cy="1200149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ZA" sz="1100" b="1"/>
            <a:t>Species </a:t>
          </a:r>
        </a:p>
        <a:p>
          <a:r>
            <a:rPr lang="en-ZA" sz="1100"/>
            <a:t>1. </a:t>
          </a:r>
          <a:r>
            <a:rPr lang="en-ZA" sz="1100" i="1"/>
            <a:t>Terminalia sericea </a:t>
          </a:r>
          <a:r>
            <a:rPr lang="en-ZA" sz="1100" i="0"/>
            <a:t>(Sand geelhoud)</a:t>
          </a:r>
        </a:p>
        <a:p>
          <a:r>
            <a:rPr lang="en-ZA" sz="1100"/>
            <a:t>2.</a:t>
          </a:r>
          <a:r>
            <a:rPr lang="en-ZA" sz="1100" baseline="0"/>
            <a:t> </a:t>
          </a:r>
          <a:r>
            <a:rPr lang="en-ZA" sz="1100" i="1" baseline="0"/>
            <a:t>Senegalia mellifera </a:t>
          </a:r>
          <a:r>
            <a:rPr lang="en-ZA" sz="1100" i="0" baseline="0"/>
            <a:t>(Swarthaak)</a:t>
          </a:r>
          <a:endParaRPr lang="en-ZA" sz="1100" i="1" baseline="0"/>
        </a:p>
        <a:p>
          <a:r>
            <a:rPr lang="en-ZA" sz="1100" baseline="0"/>
            <a:t>3. </a:t>
          </a:r>
          <a:r>
            <a:rPr lang="en-ZA" sz="1100" i="1" baseline="0"/>
            <a:t>Vachellia reficience </a:t>
          </a:r>
          <a:r>
            <a:rPr lang="en-ZA" sz="1100" i="0" baseline="0"/>
            <a:t>(Rooihaak)</a:t>
          </a:r>
          <a:endParaRPr lang="en-ZA" sz="1100" i="1" baseline="0"/>
        </a:p>
        <a:p>
          <a:r>
            <a:rPr lang="en-ZA" sz="1100" baseline="0"/>
            <a:t>4. Other (Microphyllous)</a:t>
          </a:r>
        </a:p>
        <a:p>
          <a:r>
            <a:rPr lang="en-ZA" sz="1100" baseline="0"/>
            <a:t>5. Other (Broad-leaved)</a:t>
          </a:r>
        </a:p>
      </xdr:txBody>
    </xdr:sp>
    <xdr:clientData/>
  </xdr:twoCellAnchor>
  <xdr:twoCellAnchor>
    <xdr:from>
      <xdr:col>11</xdr:col>
      <xdr:colOff>57150</xdr:colOff>
      <xdr:row>5</xdr:row>
      <xdr:rowOff>238125</xdr:rowOff>
    </xdr:from>
    <xdr:to>
      <xdr:col>14</xdr:col>
      <xdr:colOff>447675</xdr:colOff>
      <xdr:row>8</xdr:row>
      <xdr:rowOff>85725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 txBox="1"/>
      </xdr:nvSpPr>
      <xdr:spPr>
        <a:xfrm>
          <a:off x="9858375" y="1543050"/>
          <a:ext cx="2524125" cy="6286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/>
            <a:t>The</a:t>
          </a:r>
          <a:r>
            <a:rPr lang="en-US" sz="1100" baseline="0"/>
            <a:t> genus', </a:t>
          </a:r>
          <a:r>
            <a:rPr lang="en-US" sz="1100" i="1" baseline="0"/>
            <a:t>Senegalia</a:t>
          </a:r>
          <a:r>
            <a:rPr lang="en-US" sz="1100" baseline="0"/>
            <a:t> and </a:t>
          </a:r>
          <a:r>
            <a:rPr lang="en-US" sz="1100" i="1" baseline="0"/>
            <a:t>Vachellia</a:t>
          </a:r>
          <a:r>
            <a:rPr lang="en-US" sz="1100" baseline="0"/>
            <a:t> replaced the formerly known </a:t>
          </a:r>
          <a:r>
            <a:rPr lang="en-US" sz="1100" i="1" baseline="0"/>
            <a:t>Acacia</a:t>
          </a:r>
          <a:r>
            <a:rPr lang="en-US" sz="1100" baseline="0"/>
            <a:t> genus</a:t>
          </a:r>
          <a:endParaRPr lang="en-US" sz="1100"/>
        </a:p>
      </xdr:txBody>
    </xdr:sp>
    <xdr:clientData/>
  </xdr:twoCellAnchor>
  <xdr:twoCellAnchor>
    <xdr:from>
      <xdr:col>11</xdr:col>
      <xdr:colOff>47625</xdr:colOff>
      <xdr:row>9</xdr:row>
      <xdr:rowOff>76197</xdr:rowOff>
    </xdr:from>
    <xdr:to>
      <xdr:col>13</xdr:col>
      <xdr:colOff>466724</xdr:colOff>
      <xdr:row>19</xdr:row>
      <xdr:rowOff>47625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8867775" y="2352672"/>
          <a:ext cx="1943099" cy="1981203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 b="1"/>
            <a:t>Microphyllous plants:</a:t>
          </a:r>
          <a:r>
            <a:rPr lang="en-US" sz="1100" b="1" baseline="0"/>
            <a:t> </a:t>
          </a:r>
          <a:r>
            <a:rPr lang="en-US" sz="1100" b="0" baseline="0"/>
            <a:t>are those with small leaves  with a single unbranched leaf vein.</a:t>
          </a:r>
          <a:endParaRPr lang="en-US" sz="1100" b="0" i="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endParaRPr lang="en-US" sz="1100" b="0" i="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endParaRPr lang="en-US" sz="1100" b="1"/>
        </a:p>
        <a:p>
          <a:endParaRPr lang="en-US" sz="1100" b="1"/>
        </a:p>
        <a:p>
          <a:endParaRPr lang="en-US" sz="1100" b="1"/>
        </a:p>
        <a:p>
          <a:endParaRPr lang="en-US" sz="1100" b="1"/>
        </a:p>
        <a:p>
          <a:r>
            <a:rPr lang="en-US" sz="1100" b="1"/>
            <a:t>Broad-leaved plants: </a:t>
          </a:r>
          <a:r>
            <a:rPr lang="en-US" sz="1100" b="0" i="0">
              <a:solidFill>
                <a:schemeClr val="dk1"/>
              </a:solidFill>
              <a:latin typeface="+mn-lt"/>
              <a:ea typeface="+mn-ea"/>
              <a:cs typeface="+mn-cs"/>
            </a:rPr>
            <a:t>are those</a:t>
          </a:r>
          <a:r>
            <a:rPr lang="en-US" sz="1100" b="0" i="0" baseline="0">
              <a:solidFill>
                <a:schemeClr val="dk1"/>
              </a:solidFill>
              <a:latin typeface="+mn-lt"/>
              <a:ea typeface="+mn-ea"/>
              <a:cs typeface="+mn-cs"/>
            </a:rPr>
            <a:t> </a:t>
          </a:r>
          <a:r>
            <a:rPr lang="en-US" sz="1100" b="0" i="0">
              <a:solidFill>
                <a:schemeClr val="dk1"/>
              </a:solidFill>
              <a:latin typeface="+mn-lt"/>
              <a:ea typeface="+mn-ea"/>
              <a:cs typeface="+mn-cs"/>
            </a:rPr>
            <a:t>with</a:t>
          </a:r>
          <a:r>
            <a:rPr lang="en-US" sz="1100" b="0" i="0" u="sng">
              <a:solidFill>
                <a:schemeClr val="dk1"/>
              </a:solidFill>
              <a:latin typeface="+mn-lt"/>
              <a:ea typeface="+mn-ea"/>
              <a:cs typeface="+mn-cs"/>
            </a:rPr>
            <a:t> </a:t>
          </a:r>
          <a:r>
            <a:rPr lang="en-US" sz="1100" b="1" i="0" u="sng">
              <a:solidFill>
                <a:schemeClr val="dk1"/>
              </a:solidFill>
              <a:latin typeface="+mn-lt"/>
              <a:ea typeface="+mn-ea"/>
              <a:cs typeface="+mn-cs"/>
            </a:rPr>
            <a:t>leaves</a:t>
          </a:r>
          <a:r>
            <a:rPr lang="en-US" sz="1100" b="0" i="0">
              <a:solidFill>
                <a:schemeClr val="dk1"/>
              </a:solidFill>
              <a:latin typeface="+mn-lt"/>
              <a:ea typeface="+mn-ea"/>
              <a:cs typeface="+mn-cs"/>
            </a:rPr>
            <a:t> that have a flat, relatively </a:t>
          </a:r>
          <a:r>
            <a:rPr lang="en-US" sz="1100" b="1" i="0" u="sng">
              <a:solidFill>
                <a:schemeClr val="dk1"/>
              </a:solidFill>
              <a:latin typeface="+mn-lt"/>
              <a:ea typeface="+mn-ea"/>
              <a:cs typeface="+mn-cs"/>
            </a:rPr>
            <a:t>broad</a:t>
          </a:r>
          <a:r>
            <a:rPr lang="en-US" sz="1100" b="0" i="0">
              <a:solidFill>
                <a:schemeClr val="dk1"/>
              </a:solidFill>
              <a:latin typeface="+mn-lt"/>
              <a:ea typeface="+mn-ea"/>
              <a:cs typeface="+mn-cs"/>
            </a:rPr>
            <a:t> surface.</a:t>
          </a:r>
          <a:endParaRPr lang="en-US" sz="1100"/>
        </a:p>
      </xdr:txBody>
    </xdr:sp>
    <xdr:clientData/>
  </xdr:twoCellAnchor>
  <xdr:twoCellAnchor>
    <xdr:from>
      <xdr:col>6</xdr:col>
      <xdr:colOff>200025</xdr:colOff>
      <xdr:row>18</xdr:row>
      <xdr:rowOff>57150</xdr:rowOff>
    </xdr:from>
    <xdr:to>
      <xdr:col>6</xdr:col>
      <xdr:colOff>685800</xdr:colOff>
      <xdr:row>21</xdr:row>
      <xdr:rowOff>66675</xdr:rowOff>
    </xdr:to>
    <xdr:sp macro="" textlink="">
      <xdr:nvSpPr>
        <xdr:cNvPr id="7" name="Bent-Up Arrow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>
        <a:xfrm rot="5400000">
          <a:off x="4791075" y="4191000"/>
          <a:ext cx="581025" cy="485775"/>
        </a:xfrm>
        <a:prstGeom prst="bentUpArrow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>
            <a:ln>
              <a:solidFill>
                <a:srgbClr val="FF0000"/>
              </a:solidFill>
            </a:ln>
          </a:endParaRPr>
        </a:p>
      </xdr:txBody>
    </xdr:sp>
    <xdr:clientData/>
  </xdr:twoCellAnchor>
  <xdr:twoCellAnchor>
    <xdr:from>
      <xdr:col>9</xdr:col>
      <xdr:colOff>142875</xdr:colOff>
      <xdr:row>20</xdr:row>
      <xdr:rowOff>28575</xdr:rowOff>
    </xdr:from>
    <xdr:to>
      <xdr:col>9</xdr:col>
      <xdr:colOff>609600</xdr:colOff>
      <xdr:row>21</xdr:row>
      <xdr:rowOff>19050</xdr:rowOff>
    </xdr:to>
    <xdr:sp macro="" textlink="">
      <xdr:nvSpPr>
        <xdr:cNvPr id="8" name="Right Arrow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/>
      </xdr:nvSpPr>
      <xdr:spPr>
        <a:xfrm>
          <a:off x="8553450" y="4495800"/>
          <a:ext cx="466725" cy="180975"/>
        </a:xfrm>
        <a:prstGeom prst="rightArrow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13</xdr:col>
      <xdr:colOff>390524</xdr:colOff>
      <xdr:row>14</xdr:row>
      <xdr:rowOff>114299</xdr:rowOff>
    </xdr:from>
    <xdr:to>
      <xdr:col>16</xdr:col>
      <xdr:colOff>82549</xdr:colOff>
      <xdr:row>19</xdr:row>
      <xdr:rowOff>93344</xdr:rowOff>
    </xdr:to>
    <xdr:pic>
      <xdr:nvPicPr>
        <xdr:cNvPr id="9" name="Picture 8" descr="C:\Users\BoysJM\Desktop\T. ser.jpg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734674" y="3448049"/>
          <a:ext cx="1520825" cy="9315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381001</xdr:colOff>
      <xdr:row>9</xdr:row>
      <xdr:rowOff>114301</xdr:rowOff>
    </xdr:from>
    <xdr:to>
      <xdr:col>16</xdr:col>
      <xdr:colOff>114300</xdr:colOff>
      <xdr:row>13</xdr:row>
      <xdr:rowOff>85726</xdr:rowOff>
    </xdr:to>
    <xdr:pic>
      <xdr:nvPicPr>
        <xdr:cNvPr id="10" name="Picture 9" descr="C:\Users\BoysJM\Desktop\mell.jpg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/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0725151" y="2390776"/>
          <a:ext cx="1562099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8659</xdr:colOff>
      <xdr:row>0</xdr:row>
      <xdr:rowOff>77932</xdr:rowOff>
    </xdr:from>
    <xdr:to>
      <xdr:col>4</xdr:col>
      <xdr:colOff>223326</xdr:colOff>
      <xdr:row>1</xdr:row>
      <xdr:rowOff>225655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DE917115-6AE1-4D9B-8ECE-67895D1526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156114" y="77932"/>
          <a:ext cx="1487553" cy="390178"/>
        </a:xfrm>
        <a:prstGeom prst="rect">
          <a:avLst/>
        </a:prstGeom>
      </xdr:spPr>
    </xdr:pic>
    <xdr:clientData/>
  </xdr:twoCellAnchor>
  <xdr:twoCellAnchor editAs="oneCell">
    <xdr:from>
      <xdr:col>4</xdr:col>
      <xdr:colOff>242454</xdr:colOff>
      <xdr:row>0</xdr:row>
      <xdr:rowOff>77932</xdr:rowOff>
    </xdr:from>
    <xdr:to>
      <xdr:col>6</xdr:col>
      <xdr:colOff>327252</xdr:colOff>
      <xdr:row>2</xdr:row>
      <xdr:rowOff>56359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1673357C-072A-4C37-B067-82A9544A78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662795" y="77932"/>
          <a:ext cx="890093" cy="46333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9525</xdr:colOff>
      <xdr:row>3</xdr:row>
      <xdr:rowOff>57148</xdr:rowOff>
    </xdr:from>
    <xdr:to>
      <xdr:col>3</xdr:col>
      <xdr:colOff>895352</xdr:colOff>
      <xdr:row>4</xdr:row>
      <xdr:rowOff>209548</xdr:rowOff>
    </xdr:to>
    <xdr:sp macro="" textlink="">
      <xdr:nvSpPr>
        <xdr:cNvPr id="4" name="Right Brac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/>
      </xdr:nvSpPr>
      <xdr:spPr>
        <a:xfrm rot="16200000">
          <a:off x="2209801" y="800097"/>
          <a:ext cx="428625" cy="885827"/>
        </a:xfrm>
        <a:prstGeom prst="rightBrace">
          <a:avLst>
            <a:gd name="adj1" fmla="val 0"/>
            <a:gd name="adj2" fmla="val 50000"/>
          </a:avLst>
        </a:prstGeom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  <xdr:txBody>
        <a:bodyPr vertOverflow="clip" rtlCol="0" anchor="ctr"/>
        <a:lstStyle/>
        <a:p>
          <a:pPr algn="ctr"/>
          <a:endParaRPr lang="en-ZA" sz="1100"/>
        </a:p>
      </xdr:txBody>
    </xdr:sp>
    <xdr:clientData/>
  </xdr:twoCellAnchor>
  <xdr:twoCellAnchor>
    <xdr:from>
      <xdr:col>4</xdr:col>
      <xdr:colOff>0</xdr:colOff>
      <xdr:row>3</xdr:row>
      <xdr:rowOff>66675</xdr:rowOff>
    </xdr:from>
    <xdr:to>
      <xdr:col>5</xdr:col>
      <xdr:colOff>9527</xdr:colOff>
      <xdr:row>4</xdr:row>
      <xdr:rowOff>219075</xdr:rowOff>
    </xdr:to>
    <xdr:sp macro="" textlink="">
      <xdr:nvSpPr>
        <xdr:cNvPr id="5" name="Right Brace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/>
      </xdr:nvSpPr>
      <xdr:spPr>
        <a:xfrm rot="16200000">
          <a:off x="2581276" y="190499"/>
          <a:ext cx="390525" cy="619127"/>
        </a:xfrm>
        <a:prstGeom prst="rightBrace">
          <a:avLst>
            <a:gd name="adj1" fmla="val 0"/>
            <a:gd name="adj2" fmla="val 50000"/>
          </a:avLst>
        </a:prstGeom>
        <a:solidFill>
          <a:srgbClr val="00B050"/>
        </a:solidFill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  <xdr:txBody>
        <a:bodyPr vertOverflow="clip" rtlCol="0" anchor="ctr"/>
        <a:lstStyle/>
        <a:p>
          <a:pPr algn="ctr"/>
          <a:endParaRPr lang="en-ZA" sz="1100"/>
        </a:p>
      </xdr:txBody>
    </xdr:sp>
    <xdr:clientData/>
  </xdr:twoCellAnchor>
  <xdr:twoCellAnchor>
    <xdr:from>
      <xdr:col>5</xdr:col>
      <xdr:colOff>28575</xdr:colOff>
      <xdr:row>3</xdr:row>
      <xdr:rowOff>66674</xdr:rowOff>
    </xdr:from>
    <xdr:to>
      <xdr:col>7</xdr:col>
      <xdr:colOff>9525</xdr:colOff>
      <xdr:row>4</xdr:row>
      <xdr:rowOff>219074</xdr:rowOff>
    </xdr:to>
    <xdr:sp macro="" textlink="">
      <xdr:nvSpPr>
        <xdr:cNvPr id="6" name="Right Brace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 rot="16200000">
          <a:off x="3509962" y="-100013"/>
          <a:ext cx="390525" cy="1200150"/>
        </a:xfrm>
        <a:prstGeom prst="rightBrace">
          <a:avLst>
            <a:gd name="adj1" fmla="val 0"/>
            <a:gd name="adj2" fmla="val 50000"/>
          </a:avLst>
        </a:prstGeom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  <xdr:txBody>
        <a:bodyPr vertOverflow="clip" rtlCol="0" anchor="ctr"/>
        <a:lstStyle/>
        <a:p>
          <a:pPr algn="ctr"/>
          <a:endParaRPr lang="en-ZA" sz="1100"/>
        </a:p>
      </xdr:txBody>
    </xdr:sp>
    <xdr:clientData/>
  </xdr:twoCellAnchor>
  <xdr:twoCellAnchor>
    <xdr:from>
      <xdr:col>7</xdr:col>
      <xdr:colOff>0</xdr:colOff>
      <xdr:row>3</xdr:row>
      <xdr:rowOff>57150</xdr:rowOff>
    </xdr:from>
    <xdr:to>
      <xdr:col>8</xdr:col>
      <xdr:colOff>590550</xdr:colOff>
      <xdr:row>4</xdr:row>
      <xdr:rowOff>209550</xdr:rowOff>
    </xdr:to>
    <xdr:sp macro="" textlink="">
      <xdr:nvSpPr>
        <xdr:cNvPr id="7" name="Right Brace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SpPr/>
      </xdr:nvSpPr>
      <xdr:spPr>
        <a:xfrm rot="16200000">
          <a:off x="5195887" y="595313"/>
          <a:ext cx="428625" cy="1295400"/>
        </a:xfrm>
        <a:prstGeom prst="rightBrace">
          <a:avLst>
            <a:gd name="adj1" fmla="val 0"/>
            <a:gd name="adj2" fmla="val 50000"/>
          </a:avLst>
        </a:prstGeom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  <xdr:txBody>
        <a:bodyPr vertOverflow="clip" rtlCol="0" anchor="ctr"/>
        <a:lstStyle/>
        <a:p>
          <a:pPr algn="ctr"/>
          <a:endParaRPr lang="en-ZA" sz="1100"/>
        </a:p>
      </xdr:txBody>
    </xdr:sp>
    <xdr:clientData/>
  </xdr:twoCellAnchor>
  <xdr:twoCellAnchor>
    <xdr:from>
      <xdr:col>8</xdr:col>
      <xdr:colOff>609599</xdr:colOff>
      <xdr:row>3</xdr:row>
      <xdr:rowOff>57150</xdr:rowOff>
    </xdr:from>
    <xdr:to>
      <xdr:col>11</xdr:col>
      <xdr:colOff>647702</xdr:colOff>
      <xdr:row>4</xdr:row>
      <xdr:rowOff>209550</xdr:rowOff>
    </xdr:to>
    <xdr:sp macro="" textlink="">
      <xdr:nvSpPr>
        <xdr:cNvPr id="9" name="Right Brace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SpPr/>
      </xdr:nvSpPr>
      <xdr:spPr>
        <a:xfrm rot="16200000">
          <a:off x="6853238" y="252411"/>
          <a:ext cx="428625" cy="1981203"/>
        </a:xfrm>
        <a:prstGeom prst="rightBrace">
          <a:avLst>
            <a:gd name="adj1" fmla="val 0"/>
            <a:gd name="adj2" fmla="val 50000"/>
          </a:avLst>
        </a:prstGeom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  <xdr:txBody>
        <a:bodyPr vertOverflow="clip" rtlCol="0" anchor="ctr"/>
        <a:lstStyle/>
        <a:p>
          <a:pPr algn="ctr"/>
          <a:endParaRPr lang="en-ZA" sz="1100"/>
        </a:p>
      </xdr:txBody>
    </xdr:sp>
    <xdr:clientData/>
  </xdr:twoCellAnchor>
  <xdr:twoCellAnchor>
    <xdr:from>
      <xdr:col>12</xdr:col>
      <xdr:colOff>323850</xdr:colOff>
      <xdr:row>5</xdr:row>
      <xdr:rowOff>38100</xdr:rowOff>
    </xdr:from>
    <xdr:to>
      <xdr:col>12</xdr:col>
      <xdr:colOff>2105025</xdr:colOff>
      <xdr:row>6</xdr:row>
      <xdr:rowOff>9525</xdr:rowOff>
    </xdr:to>
    <xdr:sp macro="" textlink="">
      <xdr:nvSpPr>
        <xdr:cNvPr id="8" name="Right Arrow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/>
      </xdr:nvSpPr>
      <xdr:spPr>
        <a:xfrm>
          <a:off x="9372600" y="1476375"/>
          <a:ext cx="1781175" cy="161925"/>
        </a:xfrm>
        <a:prstGeom prst="rightArrow">
          <a:avLst/>
        </a:prstGeom>
        <a:solidFill>
          <a:srgbClr val="FF4F4F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ZA" sz="1100"/>
        </a:p>
      </xdr:txBody>
    </xdr:sp>
    <xdr:clientData/>
  </xdr:twoCellAnchor>
  <xdr:twoCellAnchor>
    <xdr:from>
      <xdr:col>16</xdr:col>
      <xdr:colOff>771525</xdr:colOff>
      <xdr:row>0</xdr:row>
      <xdr:rowOff>266700</xdr:rowOff>
    </xdr:from>
    <xdr:to>
      <xdr:col>19</xdr:col>
      <xdr:colOff>85725</xdr:colOff>
      <xdr:row>5</xdr:row>
      <xdr:rowOff>0</xdr:rowOff>
    </xdr:to>
    <xdr:sp macro="" textlink="">
      <xdr:nvSpPr>
        <xdr:cNvPr id="11" name="Down Arrow Callout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SpPr/>
      </xdr:nvSpPr>
      <xdr:spPr>
        <a:xfrm>
          <a:off x="12249150" y="266700"/>
          <a:ext cx="1895475" cy="1171575"/>
        </a:xfrm>
        <a:prstGeom prst="downArrowCallou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ZA" sz="1100"/>
        </a:p>
      </xdr:txBody>
    </xdr:sp>
    <xdr:clientData/>
  </xdr:twoCellAnchor>
  <xdr:twoCellAnchor>
    <xdr:from>
      <xdr:col>16</xdr:col>
      <xdr:colOff>838200</xdr:colOff>
      <xdr:row>0</xdr:row>
      <xdr:rowOff>314325</xdr:rowOff>
    </xdr:from>
    <xdr:to>
      <xdr:col>19</xdr:col>
      <xdr:colOff>9525</xdr:colOff>
      <xdr:row>3</xdr:row>
      <xdr:rowOff>19050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SpPr txBox="1"/>
      </xdr:nvSpPr>
      <xdr:spPr>
        <a:xfrm>
          <a:off x="12315825" y="314325"/>
          <a:ext cx="1752600" cy="6286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ZA" sz="1100"/>
            <a:t>Enter code:</a:t>
          </a:r>
        </a:p>
        <a:p>
          <a:r>
            <a:rPr lang="en-ZA" sz="1100"/>
            <a:t>1 for Microphyllous plants</a:t>
          </a:r>
        </a:p>
        <a:p>
          <a:r>
            <a:rPr lang="en-ZA" sz="1100"/>
            <a:t>2 for Broad-leaved plants</a:t>
          </a:r>
        </a:p>
      </xdr:txBody>
    </xdr:sp>
    <xdr:clientData/>
  </xdr:twoCellAnchor>
  <xdr:twoCellAnchor>
    <xdr:from>
      <xdr:col>12</xdr:col>
      <xdr:colOff>21165</xdr:colOff>
      <xdr:row>0</xdr:row>
      <xdr:rowOff>52916</xdr:rowOff>
    </xdr:from>
    <xdr:to>
      <xdr:col>16</xdr:col>
      <xdr:colOff>825500</xdr:colOff>
      <xdr:row>4</xdr:row>
      <xdr:rowOff>21167</xdr:rowOff>
    </xdr:to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SpPr txBox="1"/>
      </xdr:nvSpPr>
      <xdr:spPr>
        <a:xfrm>
          <a:off x="8487832" y="52916"/>
          <a:ext cx="3238501" cy="1174751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ZA" sz="1400" b="1" baseline="0"/>
            <a:t>Note:</a:t>
          </a:r>
        </a:p>
        <a:p>
          <a:r>
            <a:rPr lang="en-ZA" sz="1100" baseline="0"/>
            <a:t>Biomass is only estimated once measurements are recorded.</a:t>
          </a:r>
        </a:p>
        <a:p>
          <a:r>
            <a:rPr lang="en-ZA" sz="1100" baseline="0"/>
            <a:t>If species are entered without recorded measurements, the model can only make it part of the species composition list.</a:t>
          </a:r>
          <a:endParaRPr lang="en-ZA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95250</xdr:colOff>
      <xdr:row>1</xdr:row>
      <xdr:rowOff>209549</xdr:rowOff>
    </xdr:from>
    <xdr:to>
      <xdr:col>3</xdr:col>
      <xdr:colOff>138665</xdr:colOff>
      <xdr:row>3</xdr:row>
      <xdr:rowOff>114299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DB5012D-212D-47F1-877B-28C3596F6E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0" y="457199"/>
          <a:ext cx="1491215" cy="390525"/>
        </a:xfrm>
        <a:prstGeom prst="rect">
          <a:avLst/>
        </a:prstGeom>
      </xdr:spPr>
    </xdr:pic>
    <xdr:clientData/>
  </xdr:twoCellAnchor>
  <xdr:twoCellAnchor editAs="oneCell">
    <xdr:from>
      <xdr:col>3</xdr:col>
      <xdr:colOff>161925</xdr:colOff>
      <xdr:row>2</xdr:row>
      <xdr:rowOff>9525</xdr:rowOff>
    </xdr:from>
    <xdr:to>
      <xdr:col>4</xdr:col>
      <xdr:colOff>474294</xdr:colOff>
      <xdr:row>4</xdr:row>
      <xdr:rowOff>46863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AC2C6873-3F1D-47F7-939B-54FBF0E3CC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19475" y="504825"/>
          <a:ext cx="893394" cy="46596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92D050"/>
  </sheetPr>
  <dimension ref="A1:AE149"/>
  <sheetViews>
    <sheetView showGridLines="0" tabSelected="1" zoomScale="110" zoomScaleNormal="110" workbookViewId="0">
      <pane xSplit="15" ySplit="22" topLeftCell="P23" activePane="bottomRight" state="frozen"/>
      <selection pane="topRight" activeCell="P1" sqref="P1"/>
      <selection pane="bottomLeft" activeCell="A23" sqref="A23"/>
      <selection pane="bottomRight" activeCell="B3" sqref="B3:E3"/>
    </sheetView>
  </sheetViews>
  <sheetFormatPr baseColWidth="10" defaultColWidth="8.83203125" defaultRowHeight="15" x14ac:dyDescent="0.2"/>
  <cols>
    <col min="1" max="1" width="22.1640625" customWidth="1"/>
    <col min="2" max="2" width="10" customWidth="1"/>
    <col min="3" max="3" width="9" customWidth="1"/>
    <col min="4" max="4" width="10.1640625" customWidth="1"/>
    <col min="6" max="6" width="3" customWidth="1"/>
    <col min="7" max="7" width="12.6640625" customWidth="1"/>
    <col min="8" max="8" width="19.33203125" customWidth="1"/>
    <col min="9" max="9" width="18.5" customWidth="1"/>
    <col min="10" max="10" width="8.83203125" customWidth="1"/>
    <col min="11" max="11" width="9.5" customWidth="1"/>
    <col min="12" max="12" width="12.1640625" bestFit="1" customWidth="1"/>
    <col min="13" max="13" width="10.6640625" bestFit="1" customWidth="1"/>
  </cols>
  <sheetData>
    <row r="1" spans="1:31" ht="19" x14ac:dyDescent="0.25">
      <c r="A1" s="143" t="s">
        <v>10</v>
      </c>
      <c r="B1" s="144"/>
      <c r="C1" s="171"/>
      <c r="D1" s="171"/>
      <c r="E1" s="171"/>
      <c r="F1" s="171"/>
      <c r="G1" s="172" t="s">
        <v>2</v>
      </c>
      <c r="H1" s="46" t="s">
        <v>3</v>
      </c>
      <c r="I1" s="171"/>
      <c r="J1" s="171"/>
      <c r="K1" s="146"/>
      <c r="L1" s="146"/>
      <c r="M1" s="146"/>
      <c r="N1" s="146"/>
      <c r="O1" s="4"/>
      <c r="P1" s="4"/>
      <c r="Q1" s="4"/>
      <c r="R1" s="4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1" ht="19" x14ac:dyDescent="0.25">
      <c r="A2" s="173" t="s">
        <v>27</v>
      </c>
      <c r="B2" s="171"/>
      <c r="C2" s="171"/>
      <c r="D2" s="171"/>
      <c r="E2" s="171"/>
      <c r="F2" s="171"/>
      <c r="G2" s="171"/>
      <c r="H2" s="46" t="s">
        <v>4</v>
      </c>
      <c r="I2" s="171"/>
      <c r="J2" s="171"/>
      <c r="K2" s="146"/>
      <c r="L2" s="146"/>
      <c r="M2" s="146"/>
      <c r="N2" s="146"/>
      <c r="O2" s="4"/>
      <c r="P2" s="4"/>
      <c r="Q2" s="4"/>
      <c r="R2" s="4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</row>
    <row r="3" spans="1:31" ht="18" customHeight="1" x14ac:dyDescent="0.2">
      <c r="A3" s="171" t="s">
        <v>14</v>
      </c>
      <c r="B3" s="281"/>
      <c r="C3" s="281"/>
      <c r="D3" s="281"/>
      <c r="E3" s="281"/>
      <c r="F3" s="92"/>
      <c r="G3" s="171"/>
      <c r="H3" s="46" t="s">
        <v>5</v>
      </c>
      <c r="I3" s="171"/>
      <c r="J3" s="171"/>
      <c r="K3" s="146"/>
      <c r="L3" s="146"/>
      <c r="M3" s="146"/>
      <c r="N3" s="146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</row>
    <row r="4" spans="1:31" ht="24" customHeight="1" x14ac:dyDescent="0.2">
      <c r="A4" s="171" t="s">
        <v>15</v>
      </c>
      <c r="B4" s="282"/>
      <c r="C4" s="282"/>
      <c r="D4" s="282"/>
      <c r="E4" s="282"/>
      <c r="F4" s="174"/>
      <c r="G4" s="171"/>
      <c r="H4" s="46" t="s">
        <v>94</v>
      </c>
      <c r="I4" s="171"/>
      <c r="J4" s="171"/>
      <c r="K4" s="146"/>
      <c r="L4" s="146"/>
      <c r="M4" s="146"/>
      <c r="N4" s="146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</row>
    <row r="5" spans="1:31" ht="23.25" customHeight="1" x14ac:dyDescent="0.2">
      <c r="A5" s="171" t="s">
        <v>11</v>
      </c>
      <c r="B5" s="282"/>
      <c r="C5" s="282"/>
      <c r="D5" s="282"/>
      <c r="E5" s="282"/>
      <c r="F5" s="92"/>
      <c r="G5" s="175" t="s">
        <v>105</v>
      </c>
      <c r="H5" s="171"/>
      <c r="I5" s="171"/>
      <c r="J5" s="171"/>
      <c r="K5" s="146"/>
      <c r="L5" s="146"/>
      <c r="M5" s="146"/>
      <c r="N5" s="146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</row>
    <row r="6" spans="1:31" ht="23.25" customHeight="1" x14ac:dyDescent="0.25">
      <c r="A6" s="171" t="s">
        <v>12</v>
      </c>
      <c r="B6" s="282"/>
      <c r="C6" s="282"/>
      <c r="D6" s="282"/>
      <c r="E6" s="282"/>
      <c r="F6" s="92"/>
      <c r="G6" s="176" t="s">
        <v>56</v>
      </c>
      <c r="H6" s="177"/>
      <c r="I6" s="177"/>
      <c r="J6" s="278" t="s">
        <v>79</v>
      </c>
      <c r="K6" s="279"/>
      <c r="L6" s="146"/>
      <c r="M6" s="146"/>
      <c r="N6" s="146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</row>
    <row r="7" spans="1:31" ht="19.5" customHeight="1" x14ac:dyDescent="0.2">
      <c r="A7" s="171"/>
      <c r="B7" s="171"/>
      <c r="C7" s="171"/>
      <c r="D7" s="171"/>
      <c r="E7" s="171"/>
      <c r="F7" s="171"/>
      <c r="G7" s="123"/>
      <c r="H7" s="178" t="s">
        <v>69</v>
      </c>
      <c r="I7" s="179" t="s">
        <v>66</v>
      </c>
      <c r="J7" s="180" t="s">
        <v>49</v>
      </c>
      <c r="K7" s="180" t="s">
        <v>74</v>
      </c>
      <c r="L7" s="146"/>
      <c r="M7" s="146"/>
      <c r="N7" s="146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</row>
    <row r="8" spans="1:31" ht="18.75" customHeight="1" x14ac:dyDescent="0.2">
      <c r="A8" s="204" t="str">
        <f>IF(C8="","Enter coordinates*",IF(E8="","Enter coordinates*","Coordinates:"))</f>
        <v>Enter coordinates*</v>
      </c>
      <c r="B8" s="181" t="s">
        <v>141</v>
      </c>
      <c r="C8" s="182"/>
      <c r="D8" s="80" t="s">
        <v>142</v>
      </c>
      <c r="E8" s="183"/>
      <c r="F8" s="171"/>
      <c r="G8" s="123" t="s">
        <v>6</v>
      </c>
      <c r="H8" s="184">
        <v>0.9</v>
      </c>
      <c r="I8" s="185">
        <v>0.75</v>
      </c>
      <c r="J8" s="186" t="s">
        <v>75</v>
      </c>
      <c r="K8" s="187" t="s">
        <v>76</v>
      </c>
      <c r="L8" s="146"/>
      <c r="M8" s="146"/>
      <c r="N8" s="146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</row>
    <row r="9" spans="1:31" ht="15" customHeight="1" x14ac:dyDescent="0.2">
      <c r="A9" s="171"/>
      <c r="B9" s="171"/>
      <c r="C9" s="171"/>
      <c r="D9" s="171"/>
      <c r="E9" s="171"/>
      <c r="F9" s="171"/>
      <c r="G9" s="123" t="s">
        <v>9</v>
      </c>
      <c r="H9" s="184">
        <v>0.8</v>
      </c>
      <c r="I9" s="185">
        <v>0.45</v>
      </c>
      <c r="J9" s="187" t="s">
        <v>76</v>
      </c>
      <c r="K9" s="187" t="s">
        <v>76</v>
      </c>
      <c r="L9" s="146"/>
      <c r="M9" s="146"/>
      <c r="N9" s="146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</row>
    <row r="10" spans="1:31" ht="16.5" customHeight="1" x14ac:dyDescent="0.2">
      <c r="A10" s="207" t="s">
        <v>138</v>
      </c>
      <c r="B10" s="207"/>
      <c r="C10" s="208" t="s">
        <v>137</v>
      </c>
      <c r="D10" s="207"/>
      <c r="E10" s="208" t="s">
        <v>139</v>
      </c>
      <c r="F10" s="46"/>
      <c r="G10" s="123" t="s">
        <v>58</v>
      </c>
      <c r="H10" s="184">
        <v>0.9</v>
      </c>
      <c r="I10" s="185">
        <v>0.75</v>
      </c>
      <c r="J10" s="186" t="s">
        <v>75</v>
      </c>
      <c r="K10" s="187" t="s">
        <v>76</v>
      </c>
      <c r="L10" s="146"/>
      <c r="M10" s="146"/>
      <c r="N10" s="146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</row>
    <row r="11" spans="1:31" ht="16" x14ac:dyDescent="0.2">
      <c r="A11" s="206" t="str">
        <f>IF(C12&gt;1,"Sample area",IF(C11&lt;1,"Enter transect length*",IF(E11&lt;1,"Enter width as well*","Transect size:")))</f>
        <v>Enter transect length*</v>
      </c>
      <c r="B11" s="181" t="s">
        <v>72</v>
      </c>
      <c r="C11" s="188"/>
      <c r="D11" s="181" t="s">
        <v>73</v>
      </c>
      <c r="E11" s="188"/>
      <c r="F11" s="171"/>
      <c r="G11" s="123" t="s">
        <v>59</v>
      </c>
      <c r="H11" s="184">
        <v>0.9</v>
      </c>
      <c r="I11" s="185">
        <v>0.75</v>
      </c>
      <c r="J11" s="186" t="s">
        <v>75</v>
      </c>
      <c r="K11" s="187" t="s">
        <v>76</v>
      </c>
      <c r="L11" s="146"/>
      <c r="M11" s="146"/>
      <c r="N11" s="146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</row>
    <row r="12" spans="1:31" x14ac:dyDescent="0.2">
      <c r="A12" s="171" t="s">
        <v>172</v>
      </c>
      <c r="B12" s="171"/>
      <c r="C12" s="205"/>
      <c r="D12" s="196" t="b">
        <f>IF(AND(C11&gt;0,C12&gt;0),"ERROR - Dual area filled.")</f>
        <v>0</v>
      </c>
      <c r="E12" s="171"/>
      <c r="F12" s="171"/>
      <c r="G12" s="123" t="s">
        <v>60</v>
      </c>
      <c r="H12" s="184">
        <v>0.9</v>
      </c>
      <c r="I12" s="185">
        <v>0.6</v>
      </c>
      <c r="J12" s="186" t="s">
        <v>75</v>
      </c>
      <c r="K12" s="186" t="s">
        <v>75</v>
      </c>
      <c r="L12" s="146"/>
      <c r="M12" s="146"/>
      <c r="N12" s="146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</row>
    <row r="13" spans="1:31" ht="21" customHeight="1" x14ac:dyDescent="0.25">
      <c r="A13" s="171"/>
      <c r="B13" s="171"/>
      <c r="C13" s="171"/>
      <c r="D13" s="171"/>
      <c r="E13" s="171"/>
      <c r="F13" s="171"/>
      <c r="G13" s="189" t="s">
        <v>18</v>
      </c>
      <c r="H13" s="190"/>
      <c r="I13" s="190"/>
      <c r="J13" s="191"/>
      <c r="K13" s="191"/>
      <c r="L13" s="146"/>
      <c r="M13" s="146"/>
      <c r="N13" s="146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</row>
    <row r="14" spans="1:31" x14ac:dyDescent="0.2">
      <c r="A14" s="171"/>
      <c r="B14" s="171"/>
      <c r="C14" s="171"/>
      <c r="D14" s="171"/>
      <c r="E14" s="171"/>
      <c r="F14" s="171"/>
      <c r="G14" s="123" t="s">
        <v>6</v>
      </c>
      <c r="H14" s="184">
        <v>0.75</v>
      </c>
      <c r="I14" s="185">
        <v>0.75</v>
      </c>
      <c r="J14" s="186" t="s">
        <v>75</v>
      </c>
      <c r="K14" s="187" t="s">
        <v>76</v>
      </c>
      <c r="L14" s="146"/>
      <c r="M14" s="146"/>
      <c r="N14" s="146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</row>
    <row r="15" spans="1:31" x14ac:dyDescent="0.2">
      <c r="A15" s="171"/>
      <c r="B15" s="171"/>
      <c r="C15" s="171"/>
      <c r="D15" s="171"/>
      <c r="E15" s="171"/>
      <c r="F15" s="171"/>
      <c r="G15" s="123" t="s">
        <v>9</v>
      </c>
      <c r="H15" s="184">
        <v>0.8</v>
      </c>
      <c r="I15" s="185">
        <v>0.85</v>
      </c>
      <c r="J15" s="187" t="s">
        <v>76</v>
      </c>
      <c r="K15" s="187" t="s">
        <v>76</v>
      </c>
      <c r="L15" s="146"/>
      <c r="M15" s="146"/>
      <c r="N15" s="146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</row>
    <row r="16" spans="1:31" x14ac:dyDescent="0.2">
      <c r="A16" s="171"/>
      <c r="B16" s="171"/>
      <c r="C16" s="171"/>
      <c r="D16" s="171"/>
      <c r="E16" s="171"/>
      <c r="F16" s="171"/>
      <c r="G16" s="123" t="s">
        <v>58</v>
      </c>
      <c r="H16" s="184">
        <v>0.85</v>
      </c>
      <c r="I16" s="185">
        <v>0.9</v>
      </c>
      <c r="J16" s="186" t="s">
        <v>75</v>
      </c>
      <c r="K16" s="187" t="s">
        <v>76</v>
      </c>
      <c r="L16" s="146"/>
      <c r="M16" s="146"/>
      <c r="N16" s="146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</row>
    <row r="17" spans="1:29" x14ac:dyDescent="0.2">
      <c r="A17" s="171"/>
      <c r="B17" s="171"/>
      <c r="C17" s="171"/>
      <c r="D17" s="171"/>
      <c r="E17" s="171"/>
      <c r="F17" s="171"/>
      <c r="G17" s="123" t="s">
        <v>59</v>
      </c>
      <c r="H17" s="184">
        <v>0.8</v>
      </c>
      <c r="I17" s="185">
        <v>0.9</v>
      </c>
      <c r="J17" s="186" t="s">
        <v>75</v>
      </c>
      <c r="K17" s="187" t="s">
        <v>76</v>
      </c>
      <c r="L17" s="146"/>
      <c r="M17" s="146"/>
      <c r="N17" s="146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</row>
    <row r="18" spans="1:29" x14ac:dyDescent="0.2">
      <c r="A18" s="171"/>
      <c r="B18" s="171"/>
      <c r="C18" s="171"/>
      <c r="D18" s="171"/>
      <c r="E18" s="171"/>
      <c r="F18" s="171"/>
      <c r="G18" s="123" t="s">
        <v>60</v>
      </c>
      <c r="H18" s="184">
        <v>0.8</v>
      </c>
      <c r="I18" s="185">
        <v>0.9</v>
      </c>
      <c r="J18" s="186" t="s">
        <v>75</v>
      </c>
      <c r="K18" s="186" t="s">
        <v>75</v>
      </c>
      <c r="L18" s="146"/>
      <c r="M18" s="146"/>
      <c r="N18" s="146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</row>
    <row r="19" spans="1:29" x14ac:dyDescent="0.2">
      <c r="A19" s="171"/>
      <c r="B19" s="171"/>
      <c r="C19" s="171"/>
      <c r="D19" s="171"/>
      <c r="E19" s="171"/>
      <c r="F19" s="171"/>
      <c r="G19" s="141"/>
      <c r="H19" s="192"/>
      <c r="I19" s="192"/>
      <c r="J19" s="193"/>
      <c r="K19" s="193"/>
      <c r="L19" s="146"/>
      <c r="M19" s="146"/>
      <c r="N19" s="146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</row>
    <row r="20" spans="1:29" s="4" customFormat="1" x14ac:dyDescent="0.2">
      <c r="A20" s="146"/>
      <c r="B20" s="146"/>
      <c r="C20" s="146"/>
      <c r="D20" s="146"/>
      <c r="E20" s="146"/>
      <c r="F20" s="146"/>
      <c r="G20" s="146"/>
      <c r="H20" s="280" t="s">
        <v>92</v>
      </c>
      <c r="I20" s="280"/>
      <c r="J20" s="146"/>
      <c r="K20" s="146"/>
      <c r="L20" s="146"/>
      <c r="M20" s="146"/>
      <c r="N20" s="146"/>
    </row>
    <row r="21" spans="1:29" s="4" customFormat="1" x14ac:dyDescent="0.2">
      <c r="A21" s="146"/>
      <c r="B21" s="146"/>
      <c r="C21" s="146"/>
      <c r="D21" s="146"/>
      <c r="E21" s="146"/>
      <c r="F21" s="146"/>
      <c r="G21" s="194" t="str">
        <f>IF(I21="TH",1,IF(I21="CD",2,IF(I21="TH &amp; CD",3,IF(I21="TH &amp; SD",4,IF(I21="TH &amp; CH &amp; CD",5,"")))))</f>
        <v/>
      </c>
      <c r="H21" s="195" t="s">
        <v>93</v>
      </c>
      <c r="I21" s="111" t="s">
        <v>171</v>
      </c>
      <c r="J21" s="146"/>
      <c r="K21" s="196" t="s">
        <v>95</v>
      </c>
      <c r="L21" s="196"/>
      <c r="M21" s="196"/>
      <c r="N21" s="196"/>
    </row>
    <row r="22" spans="1:29" s="4" customFormat="1" x14ac:dyDescent="0.2">
      <c r="H22" s="48"/>
      <c r="I22" s="48"/>
    </row>
    <row r="23" spans="1:29" s="4" customFormat="1" x14ac:dyDescent="0.2"/>
    <row r="24" spans="1:29" s="4" customFormat="1" x14ac:dyDescent="0.2"/>
    <row r="25" spans="1:29" s="4" customFormat="1" x14ac:dyDescent="0.2"/>
    <row r="26" spans="1:29" s="4" customFormat="1" x14ac:dyDescent="0.2"/>
    <row r="27" spans="1:29" s="4" customFormat="1" x14ac:dyDescent="0.2"/>
    <row r="28" spans="1:29" s="4" customFormat="1" x14ac:dyDescent="0.2"/>
    <row r="29" spans="1:29" s="4" customFormat="1" x14ac:dyDescent="0.2"/>
    <row r="30" spans="1:29" s="4" customFormat="1" x14ac:dyDescent="0.2"/>
    <row r="31" spans="1:29" s="4" customFormat="1" x14ac:dyDescent="0.2"/>
    <row r="32" spans="1:29" s="4" customFormat="1" x14ac:dyDescent="0.2"/>
    <row r="33" spans="7:29" s="4" customFormat="1" x14ac:dyDescent="0.2"/>
    <row r="34" spans="7:29" s="4" customFormat="1" x14ac:dyDescent="0.2"/>
    <row r="35" spans="7:29" s="4" customFormat="1" x14ac:dyDescent="0.2"/>
    <row r="36" spans="7:29" s="4" customFormat="1" x14ac:dyDescent="0.2"/>
    <row r="37" spans="7:29" s="4" customFormat="1" x14ac:dyDescent="0.2"/>
    <row r="38" spans="7:29" s="4" customFormat="1" x14ac:dyDescent="0.2"/>
    <row r="39" spans="7:29" s="4" customFormat="1" x14ac:dyDescent="0.2"/>
    <row r="40" spans="7:29" s="4" customFormat="1" x14ac:dyDescent="0.2"/>
    <row r="41" spans="7:29" s="4" customFormat="1" x14ac:dyDescent="0.2"/>
    <row r="42" spans="7:29" s="4" customFormat="1" x14ac:dyDescent="0.2"/>
    <row r="43" spans="7:29" s="4" customFormat="1" x14ac:dyDescent="0.2"/>
    <row r="44" spans="7:29" x14ac:dyDescent="0.2"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</row>
    <row r="45" spans="7:29" x14ac:dyDescent="0.2"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</row>
    <row r="46" spans="7:29" x14ac:dyDescent="0.2"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</row>
    <row r="47" spans="7:29" x14ac:dyDescent="0.2"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</row>
    <row r="48" spans="7:29" x14ac:dyDescent="0.2"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</row>
    <row r="49" spans="7:29" x14ac:dyDescent="0.2"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</row>
    <row r="50" spans="7:29" x14ac:dyDescent="0.2"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</row>
    <row r="51" spans="7:29" x14ac:dyDescent="0.2"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</row>
    <row r="52" spans="7:29" x14ac:dyDescent="0.2"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</row>
    <row r="53" spans="7:29" x14ac:dyDescent="0.2"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</row>
    <row r="54" spans="7:29" x14ac:dyDescent="0.2"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</row>
    <row r="55" spans="7:29" x14ac:dyDescent="0.2"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</row>
    <row r="56" spans="7:29" x14ac:dyDescent="0.2"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</row>
    <row r="57" spans="7:29" x14ac:dyDescent="0.2"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</row>
    <row r="58" spans="7:29" x14ac:dyDescent="0.2"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</row>
    <row r="59" spans="7:29" x14ac:dyDescent="0.2"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</row>
    <row r="60" spans="7:29" x14ac:dyDescent="0.2"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</row>
    <row r="61" spans="7:29" x14ac:dyDescent="0.2"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</row>
    <row r="62" spans="7:29" x14ac:dyDescent="0.2"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</row>
    <row r="63" spans="7:29" x14ac:dyDescent="0.2"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</row>
    <row r="64" spans="7:29" x14ac:dyDescent="0.2"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</row>
    <row r="65" spans="7:29" x14ac:dyDescent="0.2"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</row>
    <row r="66" spans="7:29" x14ac:dyDescent="0.2"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</row>
    <row r="67" spans="7:29" x14ac:dyDescent="0.2"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</row>
    <row r="68" spans="7:29" x14ac:dyDescent="0.2"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</row>
    <row r="69" spans="7:29" x14ac:dyDescent="0.2"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</row>
    <row r="70" spans="7:29" x14ac:dyDescent="0.2"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</row>
    <row r="71" spans="7:29" x14ac:dyDescent="0.2"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</row>
    <row r="72" spans="7:29" x14ac:dyDescent="0.2"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</row>
    <row r="73" spans="7:29" x14ac:dyDescent="0.2"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</row>
    <row r="74" spans="7:29" x14ac:dyDescent="0.2"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</row>
    <row r="75" spans="7:29" x14ac:dyDescent="0.2"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</row>
    <row r="76" spans="7:29" x14ac:dyDescent="0.2"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</row>
    <row r="77" spans="7:29" x14ac:dyDescent="0.2"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</row>
    <row r="78" spans="7:29" x14ac:dyDescent="0.2"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</row>
    <row r="79" spans="7:29" x14ac:dyDescent="0.2"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</row>
    <row r="80" spans="7:29" x14ac:dyDescent="0.2"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</row>
    <row r="81" spans="7:29" x14ac:dyDescent="0.2"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</row>
    <row r="82" spans="7:29" x14ac:dyDescent="0.2"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</row>
    <row r="83" spans="7:29" x14ac:dyDescent="0.2"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</row>
    <row r="84" spans="7:29" x14ac:dyDescent="0.2"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</row>
    <row r="85" spans="7:29" x14ac:dyDescent="0.2"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</row>
    <row r="86" spans="7:29" x14ac:dyDescent="0.2"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</row>
    <row r="87" spans="7:29" x14ac:dyDescent="0.2"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</row>
    <row r="88" spans="7:29" x14ac:dyDescent="0.2"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</row>
    <row r="89" spans="7:29" x14ac:dyDescent="0.2"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</row>
    <row r="90" spans="7:29" x14ac:dyDescent="0.2"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</row>
    <row r="91" spans="7:29" x14ac:dyDescent="0.2"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</row>
    <row r="92" spans="7:29" x14ac:dyDescent="0.2"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</row>
    <row r="93" spans="7:29" x14ac:dyDescent="0.2"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</row>
    <row r="94" spans="7:29" x14ac:dyDescent="0.2"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</row>
    <row r="95" spans="7:29" x14ac:dyDescent="0.2"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</row>
    <row r="96" spans="7:29" x14ac:dyDescent="0.2"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</row>
    <row r="97" spans="7:29" x14ac:dyDescent="0.2"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</row>
    <row r="98" spans="7:29" x14ac:dyDescent="0.2"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</row>
    <row r="99" spans="7:29" x14ac:dyDescent="0.2"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</row>
    <row r="100" spans="7:29" x14ac:dyDescent="0.2"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</row>
    <row r="101" spans="7:29" x14ac:dyDescent="0.2"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</row>
    <row r="102" spans="7:29" x14ac:dyDescent="0.2"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</row>
    <row r="103" spans="7:29" x14ac:dyDescent="0.2"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</row>
    <row r="104" spans="7:29" x14ac:dyDescent="0.2"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</row>
    <row r="105" spans="7:29" x14ac:dyDescent="0.2"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</row>
    <row r="106" spans="7:29" x14ac:dyDescent="0.2"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</row>
    <row r="107" spans="7:29" x14ac:dyDescent="0.2"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</row>
    <row r="108" spans="7:29" x14ac:dyDescent="0.2"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</row>
    <row r="109" spans="7:29" x14ac:dyDescent="0.2"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</row>
    <row r="110" spans="7:29" x14ac:dyDescent="0.2"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</row>
    <row r="111" spans="7:29" x14ac:dyDescent="0.2"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</row>
    <row r="112" spans="7:29" x14ac:dyDescent="0.2"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</row>
    <row r="113" spans="7:29" x14ac:dyDescent="0.2"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</row>
    <row r="114" spans="7:29" x14ac:dyDescent="0.2"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</row>
    <row r="115" spans="7:29" x14ac:dyDescent="0.2"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</row>
    <row r="116" spans="7:29" x14ac:dyDescent="0.2"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</row>
    <row r="117" spans="7:29" x14ac:dyDescent="0.2"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</row>
    <row r="118" spans="7:29" x14ac:dyDescent="0.2"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</row>
    <row r="119" spans="7:29" x14ac:dyDescent="0.2"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</row>
    <row r="120" spans="7:29" x14ac:dyDescent="0.2"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</row>
    <row r="121" spans="7:29" x14ac:dyDescent="0.2"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</row>
    <row r="122" spans="7:29" x14ac:dyDescent="0.2"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</row>
    <row r="123" spans="7:29" x14ac:dyDescent="0.2"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</row>
    <row r="124" spans="7:29" x14ac:dyDescent="0.2"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</row>
    <row r="125" spans="7:29" x14ac:dyDescent="0.2"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</row>
    <row r="126" spans="7:29" x14ac:dyDescent="0.2"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</row>
    <row r="127" spans="7:29" x14ac:dyDescent="0.2"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</row>
    <row r="128" spans="7:29" x14ac:dyDescent="0.2"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</row>
    <row r="129" spans="7:29" x14ac:dyDescent="0.2"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</row>
    <row r="130" spans="7:29" x14ac:dyDescent="0.2"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</row>
    <row r="131" spans="7:29" x14ac:dyDescent="0.2"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</row>
    <row r="132" spans="7:29" x14ac:dyDescent="0.2"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</row>
    <row r="133" spans="7:29" x14ac:dyDescent="0.2"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</row>
    <row r="134" spans="7:29" x14ac:dyDescent="0.2"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</row>
    <row r="135" spans="7:29" x14ac:dyDescent="0.2"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</row>
    <row r="136" spans="7:29" x14ac:dyDescent="0.2"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</row>
    <row r="137" spans="7:29" x14ac:dyDescent="0.2"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</row>
    <row r="138" spans="7:29" x14ac:dyDescent="0.2"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</row>
    <row r="139" spans="7:29" x14ac:dyDescent="0.2"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</row>
    <row r="140" spans="7:29" x14ac:dyDescent="0.2"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</row>
    <row r="141" spans="7:29" x14ac:dyDescent="0.2"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</row>
    <row r="142" spans="7:29" x14ac:dyDescent="0.2"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</row>
    <row r="143" spans="7:29" x14ac:dyDescent="0.2"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</row>
    <row r="144" spans="7:29" x14ac:dyDescent="0.2"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</row>
    <row r="145" spans="7:29" x14ac:dyDescent="0.2"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</row>
    <row r="146" spans="7:29" x14ac:dyDescent="0.2"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</row>
    <row r="147" spans="7:29" x14ac:dyDescent="0.2"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</row>
    <row r="148" spans="7:29" x14ac:dyDescent="0.2"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</row>
    <row r="149" spans="7:29" x14ac:dyDescent="0.2"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</row>
  </sheetData>
  <sheetProtection algorithmName="SHA-512" hashValue="1yzBArHOTrd55JOjvRM4sMOxAbfeaP2fspXOyYTlcIGx2YeRmK/bBzIdqUY3GAX1b/8PxdT+sVFt3BcpeNTZRQ==" saltValue="Gq/TB9mVW4DIDeF2+aRYLA==" spinCount="100000" sheet="1" objects="1" scenarios="1"/>
  <protectedRanges>
    <protectedRange sqref="C12" name="Range3"/>
    <protectedRange sqref="C8 E8 E11 C11 B3:F6" name="Range1"/>
    <protectedRange sqref="I21" name="Range2"/>
  </protectedRanges>
  <mergeCells count="6">
    <mergeCell ref="J6:K6"/>
    <mergeCell ref="H20:I20"/>
    <mergeCell ref="B3:E3"/>
    <mergeCell ref="B4:E4"/>
    <mergeCell ref="B5:E5"/>
    <mergeCell ref="B6:E6"/>
  </mergeCells>
  <conditionalFormatting sqref="C11 E11 B3:E6 C8 E8">
    <cfRule type="notContainsBlanks" dxfId="52" priority="28">
      <formula>LEN(TRIM(B3))&gt;0</formula>
    </cfRule>
  </conditionalFormatting>
  <conditionalFormatting sqref="A11">
    <cfRule type="containsText" dxfId="51" priority="2" operator="containsText" text="Enter width as well*">
      <formula>NOT(ISERROR(SEARCH("Enter width as well*",A11)))</formula>
    </cfRule>
    <cfRule type="containsText" dxfId="50" priority="3" operator="containsText" text="Enter transect length*">
      <formula>NOT(ISERROR(SEARCH("Enter transect length*",A11)))</formula>
    </cfRule>
    <cfRule type="containsText" dxfId="49" priority="4" operator="containsText" text="Transect size:">
      <formula>NOT(ISERROR(SEARCH("Transect size:",A11)))</formula>
    </cfRule>
    <cfRule type="containsText" dxfId="48" priority="27" operator="containsText" text="Transect size*:">
      <formula>NOT(ISERROR(SEARCH("Transect size*:",A11)))</formula>
    </cfRule>
    <cfRule type="containsText" dxfId="47" priority="1" operator="containsText" text="Sample area">
      <formula>NOT(ISERROR(SEARCH("Sample area",A11)))</formula>
    </cfRule>
  </conditionalFormatting>
  <conditionalFormatting sqref="F6 I21">
    <cfRule type="notContainsBlanks" dxfId="46" priority="26">
      <formula>LEN(TRIM(F6))&gt;0</formula>
    </cfRule>
  </conditionalFormatting>
  <conditionalFormatting sqref="J8">
    <cfRule type="iconSet" priority="20">
      <iconSet iconSet="3Symbols2">
        <cfvo type="percent" val="0"/>
        <cfvo type="percent" val="33"/>
        <cfvo type="percent" val="67"/>
      </iconSet>
    </cfRule>
    <cfRule type="iconSet" priority="21">
      <iconSet iconSet="4RedToBlack">
        <cfvo type="percent" val="0"/>
        <cfvo type="percent" val="25"/>
        <cfvo type="percent" val="50"/>
        <cfvo type="percent" val="75"/>
      </iconSet>
    </cfRule>
  </conditionalFormatting>
  <conditionalFormatting sqref="J14">
    <cfRule type="iconSet" priority="18">
      <iconSet iconSet="3Symbols2">
        <cfvo type="percent" val="0"/>
        <cfvo type="percent" val="33"/>
        <cfvo type="percent" val="67"/>
      </iconSet>
    </cfRule>
    <cfRule type="iconSet" priority="19">
      <iconSet iconSet="4RedToBlack">
        <cfvo type="percent" val="0"/>
        <cfvo type="percent" val="25"/>
        <cfvo type="percent" val="50"/>
        <cfvo type="percent" val="75"/>
      </iconSet>
    </cfRule>
  </conditionalFormatting>
  <conditionalFormatting sqref="J13:K13">
    <cfRule type="containsBlanks" dxfId="45" priority="17">
      <formula>LEN(TRIM(J13))=0</formula>
    </cfRule>
  </conditionalFormatting>
  <conditionalFormatting sqref="C12">
    <cfRule type="notContainsBlanks" dxfId="44" priority="11">
      <formula>LEN(TRIM(C12))&gt;0</formula>
    </cfRule>
  </conditionalFormatting>
  <conditionalFormatting sqref="D12">
    <cfRule type="containsText" dxfId="43" priority="7" operator="containsText" text="FALSE">
      <formula>NOT(ISERROR(SEARCH("FALSE",D12)))</formula>
    </cfRule>
  </conditionalFormatting>
  <conditionalFormatting sqref="A8">
    <cfRule type="containsText" dxfId="42" priority="5" operator="containsText" text="Coordinates:">
      <formula>NOT(ISERROR(SEARCH("Coordinates:",A8)))</formula>
    </cfRule>
  </conditionalFormatting>
  <dataValidations count="1">
    <dataValidation type="list" allowBlank="1" showInputMessage="1" showErrorMessage="1" sqref="I21" xr:uid="{00000000-0002-0000-0000-000000000000}">
      <formula1>"NONE,TH,CD,TH &amp; CD,TH &amp; SD,TH &amp; CH &amp; CD"</formula1>
    </dataValidation>
  </dataValidations>
  <pageMargins left="0.7" right="0.7" top="0.75" bottom="0.75" header="0.3" footer="0.3"/>
  <pageSetup paperSize="9" orientation="portrait" r:id="rId1"/>
  <drawing r:id="rId2"/>
  <picture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00B050"/>
  </sheetPr>
  <dimension ref="A1:V156"/>
  <sheetViews>
    <sheetView showGridLines="0" zoomScale="90" zoomScaleNormal="90" workbookViewId="0">
      <pane xSplit="19" ySplit="6" topLeftCell="T7" activePane="bottomRight" state="frozen"/>
      <selection pane="topRight" activeCell="T1" sqref="T1"/>
      <selection pane="bottomLeft" activeCell="A7" sqref="A7"/>
      <selection pane="bottomRight" activeCell="D7" sqref="D7"/>
    </sheetView>
  </sheetViews>
  <sheetFormatPr baseColWidth="10" defaultColWidth="8.83203125" defaultRowHeight="15" x14ac:dyDescent="0.2"/>
  <cols>
    <col min="2" max="2" width="9.1640625" hidden="1" customWidth="1"/>
    <col min="3" max="3" width="19.6640625" customWidth="1"/>
    <col min="4" max="5" width="13.5" customWidth="1"/>
    <col min="6" max="8" width="10.5" customWidth="1"/>
    <col min="10" max="10" width="10.33203125" customWidth="1"/>
    <col min="11" max="11" width="9.6640625" customWidth="1"/>
    <col min="12" max="12" width="9.83203125" customWidth="1"/>
    <col min="13" max="13" width="36.5" customWidth="1"/>
    <col min="14" max="16" width="9.1640625" hidden="1" customWidth="1"/>
    <col min="17" max="17" width="20.5" bestFit="1" customWidth="1"/>
    <col min="18" max="20" width="9.1640625" style="13" customWidth="1"/>
    <col min="22" max="22" width="9.1640625" customWidth="1"/>
  </cols>
  <sheetData>
    <row r="1" spans="1:22" ht="26" x14ac:dyDescent="0.3">
      <c r="A1" s="140"/>
      <c r="B1" s="140"/>
      <c r="C1" s="140"/>
      <c r="D1" s="284" t="s">
        <v>64</v>
      </c>
      <c r="E1" s="284"/>
      <c r="F1" s="284"/>
      <c r="G1" s="284"/>
      <c r="H1" s="284"/>
      <c r="I1" s="284"/>
      <c r="J1" s="284"/>
      <c r="K1" s="284"/>
      <c r="L1" s="284"/>
      <c r="M1" s="140"/>
      <c r="N1" s="140"/>
      <c r="O1" s="140"/>
      <c r="P1" s="140"/>
      <c r="Q1" s="140"/>
      <c r="R1" s="141"/>
      <c r="S1" s="141"/>
      <c r="T1" s="141"/>
    </row>
    <row r="2" spans="1:22" ht="16" thickBot="1" x14ac:dyDescent="0.25">
      <c r="A2" s="140"/>
      <c r="B2" s="140"/>
      <c r="C2" s="140"/>
      <c r="D2" s="142" t="str">
        <f>IF('GENERAL INFORMATION'!G21=1,"Enter Data Here","")</f>
        <v/>
      </c>
      <c r="E2" s="142" t="str">
        <f>IF('GENERAL INFORMATION'!G21=2,"Enter Data Here","")</f>
        <v/>
      </c>
      <c r="F2" s="292" t="str">
        <f>IF('GENERAL INFORMATION'!G21=3,"Enter Data Here","")</f>
        <v/>
      </c>
      <c r="G2" s="292"/>
      <c r="H2" s="292" t="str">
        <f>IF('GENERAL INFORMATION'!G21=4,"Enter Data Here","")</f>
        <v/>
      </c>
      <c r="I2" s="292"/>
      <c r="J2" s="292" t="str">
        <f>IF('GENERAL INFORMATION'!G21=5,"Enter Data Here","")</f>
        <v/>
      </c>
      <c r="K2" s="292"/>
      <c r="L2" s="292"/>
      <c r="M2" s="140"/>
      <c r="N2" s="140"/>
      <c r="O2" s="140"/>
      <c r="P2" s="140"/>
      <c r="Q2" s="140"/>
      <c r="R2" s="141"/>
      <c r="S2" s="141"/>
      <c r="T2" s="141"/>
    </row>
    <row r="3" spans="1:22" ht="30.75" customHeight="1" x14ac:dyDescent="0.25">
      <c r="A3" s="143" t="s">
        <v>17</v>
      </c>
      <c r="B3" s="143"/>
      <c r="C3" s="144"/>
      <c r="D3" s="145" t="str">
        <f>IF('GENERAL INFORMATION'!G21=1,"TH ONLY","")</f>
        <v/>
      </c>
      <c r="E3" s="145" t="str">
        <f>IF('GENERAL INFORMATION'!G21=2,"CD ONLY","")</f>
        <v/>
      </c>
      <c r="F3" s="286" t="str">
        <f>IF('GENERAL INFORMATION'!G21=3,"TH &amp; CD","")</f>
        <v/>
      </c>
      <c r="G3" s="287"/>
      <c r="H3" s="286" t="str">
        <f>IF('GENERAL INFORMATION'!G21=4,"TH &amp; SD","")</f>
        <v/>
      </c>
      <c r="I3" s="287"/>
      <c r="J3" s="286" t="str">
        <f>IF('GENERAL INFORMATION'!G21=5,"TH &amp; CH &amp; CD","")</f>
        <v/>
      </c>
      <c r="K3" s="288"/>
      <c r="L3" s="287"/>
      <c r="M3" s="146"/>
      <c r="N3" s="140"/>
      <c r="O3" s="140"/>
      <c r="P3" s="140"/>
      <c r="Q3" s="140"/>
      <c r="R3" s="141"/>
      <c r="S3" s="141"/>
      <c r="T3" s="141"/>
    </row>
    <row r="4" spans="1:22" ht="22" thickBot="1" x14ac:dyDescent="0.3">
      <c r="A4" s="147"/>
      <c r="B4" s="147"/>
      <c r="C4" s="146"/>
      <c r="D4" s="148"/>
      <c r="E4" s="148"/>
      <c r="F4" s="149"/>
      <c r="G4" s="150"/>
      <c r="H4" s="149"/>
      <c r="I4" s="150"/>
      <c r="J4" s="289"/>
      <c r="K4" s="290"/>
      <c r="L4" s="291"/>
      <c r="M4" s="146"/>
      <c r="N4" s="140" t="s">
        <v>65</v>
      </c>
      <c r="O4" s="140"/>
      <c r="P4" s="140"/>
      <c r="Q4" s="140"/>
      <c r="R4" s="141"/>
      <c r="S4" s="141"/>
      <c r="T4" s="141"/>
    </row>
    <row r="5" spans="1:22" ht="19" x14ac:dyDescent="0.25">
      <c r="A5" s="147"/>
      <c r="B5" s="147"/>
      <c r="C5" s="146"/>
      <c r="D5" s="151"/>
      <c r="E5" s="146"/>
      <c r="F5" s="152"/>
      <c r="G5" s="152"/>
      <c r="H5" s="144"/>
      <c r="I5" s="144"/>
      <c r="J5" s="153"/>
      <c r="K5" s="153"/>
      <c r="L5" s="153"/>
      <c r="M5" s="154" t="s">
        <v>117</v>
      </c>
      <c r="N5" s="285" t="s">
        <v>28</v>
      </c>
      <c r="O5" s="285"/>
      <c r="P5" s="285"/>
      <c r="Q5" s="283"/>
      <c r="R5" s="283"/>
      <c r="S5" s="283"/>
      <c r="T5" s="283"/>
    </row>
    <row r="6" spans="1:22" ht="16" x14ac:dyDescent="0.2">
      <c r="A6" s="81" t="s">
        <v>1</v>
      </c>
      <c r="B6" s="81" t="s">
        <v>107</v>
      </c>
      <c r="C6" s="155" t="s">
        <v>0</v>
      </c>
      <c r="D6" s="156" t="str">
        <f>IF('GENERAL INFORMATION'!G21=1,"TH (m)","")</f>
        <v/>
      </c>
      <c r="E6" s="157" t="str">
        <f>IF('GENERAL INFORMATION'!G21=2,"CD (m)","")</f>
        <v/>
      </c>
      <c r="F6" s="158" t="str">
        <f>IF('GENERAL INFORMATION'!G21=3,"TH (m)","")</f>
        <v/>
      </c>
      <c r="G6" s="157" t="str">
        <f>IF('GENERAL INFORMATION'!G21=3,"CD (m)","")</f>
        <v/>
      </c>
      <c r="H6" s="158" t="str">
        <f>IF('GENERAL INFORMATION'!G21=4,"TH (m)","")</f>
        <v/>
      </c>
      <c r="I6" s="157" t="str">
        <f>IF('GENERAL INFORMATION'!G21=4,"SD (m)","")</f>
        <v/>
      </c>
      <c r="J6" s="157" t="str">
        <f>IF('GENERAL INFORMATION'!G21=5,"TH (m)","")</f>
        <v/>
      </c>
      <c r="K6" s="157" t="str">
        <f>IF('GENERAL INFORMATION'!G21=5,"CH (m)","")</f>
        <v/>
      </c>
      <c r="L6" s="157" t="str">
        <f>IF('GENERAL INFORMATION'!G21=5,"CD (m)","")</f>
        <v/>
      </c>
      <c r="M6" s="159"/>
      <c r="N6" s="160" t="s">
        <v>61</v>
      </c>
      <c r="O6" s="160" t="s">
        <v>62</v>
      </c>
      <c r="P6" s="160" t="s">
        <v>63</v>
      </c>
      <c r="Q6" s="161" t="s">
        <v>106</v>
      </c>
      <c r="R6" s="161" t="s">
        <v>107</v>
      </c>
      <c r="S6" s="159"/>
      <c r="T6" s="159"/>
      <c r="V6" s="7"/>
    </row>
    <row r="7" spans="1:22" x14ac:dyDescent="0.2">
      <c r="A7" s="81">
        <v>1</v>
      </c>
      <c r="B7" s="81">
        <f>IF(C7=$Q$7,$R$7,IF(C7=$Q$8,$R$8,IF(C7=$Q$9,$R$9,IF(C7=$Q$10,$R$10,IF(C7=$Q$11,$R$11,IF(C7=$Q$12,$R$12,IF(C7=$Q$13,$R$13,IF(C7=$Q$14,$R$14,IF(C7=$Q$15,$R$15,IF(C7=$Q$16,$R$16,IF(C7=$Q$17,$R$17,IF(C7=$Q$18,$R$18,IF(C7=$Q$19,$R$19,IF(C7=$Q$20,$R$20,IF(C7=$Q$21,$R$21,IF(C7=$Q$22,$R$22,IF(C7=$Q$23,$R$23,IF(C7=$Q$24,$R$24,IF(C7=$Q$25,$R$25,IF(C7=$Q$26,$R$26,IF(C7=$Q$27,$R$27,IF(C7=$Q$28,$R$28,IF(C7=$Q$29,$R$29,IF(C7=$Q$30,$R$30,IF(C7=$Q$31,$R$31,IF(C7=$Q$32,$R$32,IF(C7=$Q$33,$R$33,IF(C7=$Q$34,$R$34,IF(C7=$Q$35,$R$35,IF(C7=$Q$36,$R$36,IF(C7=$Q$37,$R$37,IF(C7=$Q$38,$R$38,IF(C7=$Q$39,$R$39,IF(C7=$Q$40,$R$40,IF(C7=$Q$41,$R$41)))))))))))))))))))))))))))))))))))</f>
        <v>0</v>
      </c>
      <c r="C7" s="111"/>
      <c r="D7" s="209"/>
      <c r="E7" s="198"/>
      <c r="F7" s="198"/>
      <c r="G7" s="198"/>
      <c r="H7" s="198"/>
      <c r="I7" s="198"/>
      <c r="J7" s="198"/>
      <c r="K7" s="198"/>
      <c r="L7" s="198"/>
      <c r="M7" s="45" t="str">
        <f t="shared" ref="M7:M13" si="0">IF(K7&gt;J7,"Error - CH should not be higher than TH","")</f>
        <v/>
      </c>
      <c r="N7" s="162">
        <f>L7*100/2</f>
        <v>0</v>
      </c>
      <c r="O7" s="162">
        <f>K7*100</f>
        <v>0</v>
      </c>
      <c r="P7" s="162">
        <f t="shared" ref="P7:P13" si="1">(J7-K7)*100</f>
        <v>0</v>
      </c>
      <c r="Q7" s="163" t="s">
        <v>25</v>
      </c>
      <c r="R7" s="163" t="s">
        <v>108</v>
      </c>
      <c r="S7" s="164"/>
      <c r="T7" s="164"/>
      <c r="V7" s="1"/>
    </row>
    <row r="8" spans="1:22" ht="13.5" customHeight="1" x14ac:dyDescent="0.2">
      <c r="A8" s="81">
        <v>2</v>
      </c>
      <c r="B8" s="81">
        <f t="shared" ref="B8:B71" si="2">IF(C8=$Q$7,$R$7,IF(C8=$Q$8,$R$8,IF(C8=$Q$9,$R$9,IF(C8=$Q$10,$R$10,IF(C8=$Q$11,$R$11,IF(C8=$Q$12,$R$12,IF(C8=$Q$13,$R$13,IF(C8=$Q$14,$R$14,IF(C8=$Q$15,$R$15,IF(C8=$Q$16,$R$16,IF(C8=$Q$17,$R$17,IF(C8=$Q$18,$R$18,IF(C8=$Q$19,$R$19,IF(C8=$Q$20,$R$20,IF(C8=$Q$21,$R$21,IF(C8=$Q$22,$R$22,IF(C8=$Q$23,$R$23,IF(C8=$Q$24,$R$24,IF(C8=$Q$25,$R$25,IF(C8=$Q$26,$R$26,IF(C8=$Q$27,$R$27,IF(C8=$Q$28,$R$28,IF(C8=$Q$29,$R$29,IF(C8=$Q$30,$R$30,IF(C8=$Q$31,$R$31,IF(C8=$Q$32,$R$32,IF(C8=$Q$33,$R$33,IF(C8=$Q$34,$R$34,IF(C8=$Q$35,$R$35,IF(C8=$Q$36,$R$36,IF(C8=$Q$37,$R$37,IF(C8=$Q$38,$R$38,IF(C8=$Q$39,$R$39,IF(C8=$Q$40,$R$40,IF(C8=$Q$41,$R$41)))))))))))))))))))))))))))))))))))</f>
        <v>0</v>
      </c>
      <c r="C8" s="111"/>
      <c r="D8" s="209"/>
      <c r="E8" s="198"/>
      <c r="F8" s="198"/>
      <c r="G8" s="198"/>
      <c r="H8" s="198"/>
      <c r="I8" s="198"/>
      <c r="J8" s="198"/>
      <c r="K8" s="198"/>
      <c r="L8" s="198"/>
      <c r="M8" s="45" t="str">
        <f t="shared" si="0"/>
        <v/>
      </c>
      <c r="N8" s="162">
        <f>L8*100/2</f>
        <v>0</v>
      </c>
      <c r="O8" s="162">
        <f>K8*100</f>
        <v>0</v>
      </c>
      <c r="P8" s="162">
        <f t="shared" si="1"/>
        <v>0</v>
      </c>
      <c r="Q8" s="163" t="s">
        <v>24</v>
      </c>
      <c r="R8" s="163" t="s">
        <v>109</v>
      </c>
      <c r="S8" s="164"/>
      <c r="T8" s="164"/>
      <c r="V8" s="1"/>
    </row>
    <row r="9" spans="1:22" x14ac:dyDescent="0.2">
      <c r="A9" s="81">
        <v>3</v>
      </c>
      <c r="B9" s="81">
        <f t="shared" si="2"/>
        <v>0</v>
      </c>
      <c r="C9" s="111"/>
      <c r="D9" s="209"/>
      <c r="E9" s="198"/>
      <c r="F9" s="198"/>
      <c r="G9" s="198"/>
      <c r="H9" s="198"/>
      <c r="I9" s="198"/>
      <c r="J9" s="198"/>
      <c r="K9" s="198"/>
      <c r="L9" s="198"/>
      <c r="M9" s="45" t="str">
        <f t="shared" si="0"/>
        <v/>
      </c>
      <c r="N9" s="162">
        <f>L9*100/2</f>
        <v>0</v>
      </c>
      <c r="O9" s="162">
        <f>K9*100</f>
        <v>0</v>
      </c>
      <c r="P9" s="162">
        <f t="shared" si="1"/>
        <v>0</v>
      </c>
      <c r="Q9" s="163" t="s">
        <v>23</v>
      </c>
      <c r="R9" s="163" t="s">
        <v>110</v>
      </c>
      <c r="S9" s="164"/>
      <c r="T9" s="164"/>
      <c r="V9" s="1"/>
    </row>
    <row r="10" spans="1:22" x14ac:dyDescent="0.2">
      <c r="A10" s="81">
        <v>4</v>
      </c>
      <c r="B10" s="81">
        <f t="shared" si="2"/>
        <v>0</v>
      </c>
      <c r="C10" s="111"/>
      <c r="D10" s="209"/>
      <c r="E10" s="198"/>
      <c r="F10" s="198"/>
      <c r="G10" s="198"/>
      <c r="H10" s="198"/>
      <c r="I10" s="198"/>
      <c r="J10" s="198"/>
      <c r="K10" s="198"/>
      <c r="L10" s="198"/>
      <c r="M10" s="45" t="str">
        <f t="shared" si="0"/>
        <v/>
      </c>
      <c r="N10" s="162">
        <f>L10*100/2</f>
        <v>0</v>
      </c>
      <c r="O10" s="162">
        <f>K10*100</f>
        <v>0</v>
      </c>
      <c r="P10" s="162">
        <f t="shared" si="1"/>
        <v>0</v>
      </c>
      <c r="Q10" s="163" t="s">
        <v>70</v>
      </c>
      <c r="R10" s="163">
        <v>1</v>
      </c>
      <c r="S10" s="164"/>
      <c r="T10" s="164"/>
      <c r="V10" s="1"/>
    </row>
    <row r="11" spans="1:22" x14ac:dyDescent="0.2">
      <c r="A11" s="81">
        <v>5</v>
      </c>
      <c r="B11" s="81">
        <f t="shared" si="2"/>
        <v>0</v>
      </c>
      <c r="C11" s="111"/>
      <c r="D11" s="209"/>
      <c r="E11" s="198"/>
      <c r="F11" s="198"/>
      <c r="G11" s="198"/>
      <c r="H11" s="198"/>
      <c r="I11" s="198"/>
      <c r="J11" s="198"/>
      <c r="K11" s="198"/>
      <c r="L11" s="198"/>
      <c r="M11" s="45" t="str">
        <f t="shared" si="0"/>
        <v/>
      </c>
      <c r="N11" s="162">
        <f t="shared" ref="N11:N53" si="3">L11*100/2</f>
        <v>0</v>
      </c>
      <c r="O11" s="162">
        <f t="shared" ref="O11:O53" si="4">K11*100</f>
        <v>0</v>
      </c>
      <c r="P11" s="162">
        <f t="shared" si="1"/>
        <v>0</v>
      </c>
      <c r="Q11" s="163" t="s">
        <v>67</v>
      </c>
      <c r="R11" s="163">
        <v>2</v>
      </c>
      <c r="S11" s="164"/>
      <c r="T11" s="164"/>
      <c r="V11" s="1"/>
    </row>
    <row r="12" spans="1:22" x14ac:dyDescent="0.2">
      <c r="A12" s="81">
        <v>6</v>
      </c>
      <c r="B12" s="81">
        <f t="shared" si="2"/>
        <v>0</v>
      </c>
      <c r="C12" s="111"/>
      <c r="D12" s="209"/>
      <c r="E12" s="198"/>
      <c r="F12" s="198"/>
      <c r="G12" s="198"/>
      <c r="H12" s="198"/>
      <c r="I12" s="198"/>
      <c r="J12" s="198"/>
      <c r="K12" s="198"/>
      <c r="L12" s="198"/>
      <c r="M12" s="45" t="str">
        <f t="shared" si="0"/>
        <v/>
      </c>
      <c r="N12" s="162">
        <f t="shared" si="3"/>
        <v>0</v>
      </c>
      <c r="O12" s="162">
        <f t="shared" si="4"/>
        <v>0</v>
      </c>
      <c r="P12" s="162">
        <f t="shared" si="1"/>
        <v>0</v>
      </c>
      <c r="Q12" s="123"/>
      <c r="R12" s="123"/>
      <c r="S12" s="164"/>
      <c r="T12" s="164"/>
      <c r="V12" s="1"/>
    </row>
    <row r="13" spans="1:22" x14ac:dyDescent="0.2">
      <c r="A13" s="81">
        <v>7</v>
      </c>
      <c r="B13" s="81">
        <f t="shared" si="2"/>
        <v>0</v>
      </c>
      <c r="C13" s="111"/>
      <c r="D13" s="209"/>
      <c r="E13" s="198"/>
      <c r="F13" s="198"/>
      <c r="G13" s="198"/>
      <c r="H13" s="198"/>
      <c r="I13" s="198"/>
      <c r="J13" s="198"/>
      <c r="K13" s="198"/>
      <c r="L13" s="198"/>
      <c r="M13" s="45" t="str">
        <f t="shared" si="0"/>
        <v/>
      </c>
      <c r="N13" s="162">
        <f t="shared" si="3"/>
        <v>0</v>
      </c>
      <c r="O13" s="162">
        <f t="shared" si="4"/>
        <v>0</v>
      </c>
      <c r="P13" s="162">
        <f t="shared" si="1"/>
        <v>0</v>
      </c>
      <c r="Q13" s="123"/>
      <c r="R13" s="123"/>
      <c r="S13" s="164"/>
      <c r="T13" s="164"/>
      <c r="V13" s="1"/>
    </row>
    <row r="14" spans="1:22" x14ac:dyDescent="0.2">
      <c r="A14" s="81">
        <v>8</v>
      </c>
      <c r="B14" s="81">
        <f t="shared" si="2"/>
        <v>0</v>
      </c>
      <c r="C14" s="111"/>
      <c r="D14" s="209"/>
      <c r="E14" s="198"/>
      <c r="F14" s="198"/>
      <c r="G14" s="198"/>
      <c r="H14" s="198"/>
      <c r="I14" s="198"/>
      <c r="J14" s="198"/>
      <c r="K14" s="198"/>
      <c r="L14" s="198"/>
      <c r="M14" s="45" t="str">
        <f t="shared" ref="M14:M56" si="5">IF(K14&gt;J14,"Error - CH should not be higher than TH","")</f>
        <v/>
      </c>
      <c r="N14" s="162">
        <f t="shared" si="3"/>
        <v>0</v>
      </c>
      <c r="O14" s="162">
        <f t="shared" si="4"/>
        <v>0</v>
      </c>
      <c r="P14" s="162">
        <f t="shared" ref="P14:P53" si="6">(J14-K14)*100</f>
        <v>0</v>
      </c>
      <c r="Q14" s="123"/>
      <c r="R14" s="123"/>
      <c r="S14" s="164"/>
      <c r="T14" s="164"/>
      <c r="V14" s="1"/>
    </row>
    <row r="15" spans="1:22" x14ac:dyDescent="0.2">
      <c r="A15" s="81">
        <v>9</v>
      </c>
      <c r="B15" s="81">
        <f t="shared" si="2"/>
        <v>0</v>
      </c>
      <c r="C15" s="111"/>
      <c r="D15" s="209"/>
      <c r="E15" s="198"/>
      <c r="F15" s="198"/>
      <c r="G15" s="198"/>
      <c r="H15" s="198"/>
      <c r="I15" s="198"/>
      <c r="J15" s="198"/>
      <c r="K15" s="198"/>
      <c r="L15" s="198"/>
      <c r="M15" s="45" t="str">
        <f t="shared" si="5"/>
        <v/>
      </c>
      <c r="N15" s="162">
        <f t="shared" si="3"/>
        <v>0</v>
      </c>
      <c r="O15" s="162">
        <f t="shared" si="4"/>
        <v>0</v>
      </c>
      <c r="P15" s="162">
        <f t="shared" si="6"/>
        <v>0</v>
      </c>
      <c r="Q15" s="123"/>
      <c r="R15" s="123"/>
      <c r="S15" s="164"/>
      <c r="T15" s="164"/>
      <c r="V15" s="1"/>
    </row>
    <row r="16" spans="1:22" x14ac:dyDescent="0.2">
      <c r="A16" s="81">
        <v>10</v>
      </c>
      <c r="B16" s="81">
        <f t="shared" si="2"/>
        <v>0</v>
      </c>
      <c r="C16" s="111"/>
      <c r="D16" s="209"/>
      <c r="E16" s="198"/>
      <c r="F16" s="198"/>
      <c r="G16" s="198"/>
      <c r="H16" s="198"/>
      <c r="I16" s="198"/>
      <c r="J16" s="198"/>
      <c r="K16" s="198"/>
      <c r="L16" s="198"/>
      <c r="M16" s="45" t="str">
        <f t="shared" si="5"/>
        <v/>
      </c>
      <c r="N16" s="162">
        <f t="shared" si="3"/>
        <v>0</v>
      </c>
      <c r="O16" s="162">
        <f t="shared" si="4"/>
        <v>0</v>
      </c>
      <c r="P16" s="162">
        <f t="shared" si="6"/>
        <v>0</v>
      </c>
      <c r="Q16" s="123"/>
      <c r="R16" s="123"/>
      <c r="S16" s="164"/>
      <c r="T16" s="164"/>
      <c r="V16" s="1"/>
    </row>
    <row r="17" spans="1:22" x14ac:dyDescent="0.2">
      <c r="A17" s="81">
        <v>11</v>
      </c>
      <c r="B17" s="81">
        <f t="shared" si="2"/>
        <v>0</v>
      </c>
      <c r="C17" s="111"/>
      <c r="D17" s="198"/>
      <c r="E17" s="198"/>
      <c r="F17" s="198"/>
      <c r="G17" s="198"/>
      <c r="H17" s="198"/>
      <c r="I17" s="198"/>
      <c r="J17" s="198"/>
      <c r="K17" s="198"/>
      <c r="L17" s="198"/>
      <c r="M17" s="45" t="str">
        <f t="shared" si="5"/>
        <v/>
      </c>
      <c r="N17" s="162">
        <f t="shared" si="3"/>
        <v>0</v>
      </c>
      <c r="O17" s="162">
        <f t="shared" si="4"/>
        <v>0</v>
      </c>
      <c r="P17" s="162">
        <f t="shared" si="6"/>
        <v>0</v>
      </c>
      <c r="Q17" s="123"/>
      <c r="R17" s="123"/>
      <c r="S17" s="164"/>
      <c r="T17" s="164"/>
      <c r="V17" s="1"/>
    </row>
    <row r="18" spans="1:22" x14ac:dyDescent="0.2">
      <c r="A18" s="81">
        <v>12</v>
      </c>
      <c r="B18" s="81">
        <f t="shared" si="2"/>
        <v>0</v>
      </c>
      <c r="C18" s="111"/>
      <c r="D18" s="198"/>
      <c r="E18" s="198"/>
      <c r="F18" s="198"/>
      <c r="G18" s="198"/>
      <c r="H18" s="198"/>
      <c r="I18" s="198"/>
      <c r="J18" s="198"/>
      <c r="K18" s="198"/>
      <c r="L18" s="198"/>
      <c r="M18" s="45" t="str">
        <f t="shared" si="5"/>
        <v/>
      </c>
      <c r="N18" s="162">
        <f t="shared" si="3"/>
        <v>0</v>
      </c>
      <c r="O18" s="162">
        <f t="shared" si="4"/>
        <v>0</v>
      </c>
      <c r="P18" s="162">
        <f t="shared" si="6"/>
        <v>0</v>
      </c>
      <c r="Q18" s="123"/>
      <c r="R18" s="123"/>
      <c r="S18" s="164"/>
      <c r="T18" s="164"/>
      <c r="V18" s="1"/>
    </row>
    <row r="19" spans="1:22" x14ac:dyDescent="0.2">
      <c r="A19" s="81">
        <v>13</v>
      </c>
      <c r="B19" s="81">
        <f t="shared" si="2"/>
        <v>0</v>
      </c>
      <c r="C19" s="111"/>
      <c r="D19" s="198"/>
      <c r="E19" s="198"/>
      <c r="F19" s="198"/>
      <c r="G19" s="198"/>
      <c r="H19" s="198"/>
      <c r="I19" s="198"/>
      <c r="J19" s="198"/>
      <c r="K19" s="198"/>
      <c r="L19" s="198"/>
      <c r="M19" s="45" t="str">
        <f t="shared" si="5"/>
        <v/>
      </c>
      <c r="N19" s="162">
        <f t="shared" si="3"/>
        <v>0</v>
      </c>
      <c r="O19" s="162">
        <f t="shared" si="4"/>
        <v>0</v>
      </c>
      <c r="P19" s="162">
        <f t="shared" si="6"/>
        <v>0</v>
      </c>
      <c r="Q19" s="123"/>
      <c r="R19" s="123"/>
      <c r="S19" s="164"/>
      <c r="T19" s="164"/>
      <c r="V19" s="1"/>
    </row>
    <row r="20" spans="1:22" x14ac:dyDescent="0.2">
      <c r="A20" s="81">
        <v>14</v>
      </c>
      <c r="B20" s="81">
        <f t="shared" si="2"/>
        <v>0</v>
      </c>
      <c r="C20" s="111"/>
      <c r="D20" s="198"/>
      <c r="E20" s="198"/>
      <c r="F20" s="198"/>
      <c r="G20" s="198"/>
      <c r="H20" s="198"/>
      <c r="I20" s="198"/>
      <c r="J20" s="198"/>
      <c r="K20" s="198"/>
      <c r="L20" s="198"/>
      <c r="M20" s="45" t="str">
        <f t="shared" si="5"/>
        <v/>
      </c>
      <c r="N20" s="162">
        <f t="shared" si="3"/>
        <v>0</v>
      </c>
      <c r="O20" s="162">
        <f t="shared" si="4"/>
        <v>0</v>
      </c>
      <c r="P20" s="162">
        <f t="shared" si="6"/>
        <v>0</v>
      </c>
      <c r="Q20" s="123"/>
      <c r="R20" s="123"/>
      <c r="S20" s="164"/>
      <c r="T20" s="164"/>
      <c r="V20" s="1"/>
    </row>
    <row r="21" spans="1:22" x14ac:dyDescent="0.2">
      <c r="A21" s="81">
        <v>15</v>
      </c>
      <c r="B21" s="81">
        <f t="shared" si="2"/>
        <v>0</v>
      </c>
      <c r="C21" s="111"/>
      <c r="D21" s="198"/>
      <c r="E21" s="198"/>
      <c r="F21" s="198"/>
      <c r="G21" s="198"/>
      <c r="H21" s="198"/>
      <c r="I21" s="198"/>
      <c r="J21" s="198"/>
      <c r="K21" s="198"/>
      <c r="L21" s="198"/>
      <c r="M21" s="45" t="str">
        <f t="shared" si="5"/>
        <v/>
      </c>
      <c r="N21" s="162">
        <f t="shared" si="3"/>
        <v>0</v>
      </c>
      <c r="O21" s="162">
        <f t="shared" si="4"/>
        <v>0</v>
      </c>
      <c r="P21" s="162">
        <f t="shared" si="6"/>
        <v>0</v>
      </c>
      <c r="Q21" s="123"/>
      <c r="R21" s="123"/>
      <c r="S21" s="164"/>
      <c r="T21" s="164"/>
      <c r="V21" s="1"/>
    </row>
    <row r="22" spans="1:22" x14ac:dyDescent="0.2">
      <c r="A22" s="81">
        <v>16</v>
      </c>
      <c r="B22" s="81">
        <f t="shared" si="2"/>
        <v>0</v>
      </c>
      <c r="C22" s="111"/>
      <c r="D22" s="198"/>
      <c r="E22" s="198"/>
      <c r="F22" s="198"/>
      <c r="G22" s="198"/>
      <c r="H22" s="198"/>
      <c r="I22" s="198"/>
      <c r="J22" s="198"/>
      <c r="K22" s="198"/>
      <c r="L22" s="198"/>
      <c r="M22" s="45" t="str">
        <f t="shared" si="5"/>
        <v/>
      </c>
      <c r="N22" s="162">
        <f t="shared" si="3"/>
        <v>0</v>
      </c>
      <c r="O22" s="162">
        <f t="shared" si="4"/>
        <v>0</v>
      </c>
      <c r="P22" s="162">
        <f t="shared" si="6"/>
        <v>0</v>
      </c>
      <c r="Q22" s="123"/>
      <c r="R22" s="123"/>
      <c r="S22" s="164"/>
      <c r="T22" s="164"/>
      <c r="V22" s="1"/>
    </row>
    <row r="23" spans="1:22" x14ac:dyDescent="0.2">
      <c r="A23" s="81">
        <v>17</v>
      </c>
      <c r="B23" s="81">
        <f t="shared" si="2"/>
        <v>0</v>
      </c>
      <c r="C23" s="111"/>
      <c r="D23" s="198"/>
      <c r="E23" s="198"/>
      <c r="F23" s="198"/>
      <c r="G23" s="198"/>
      <c r="H23" s="198"/>
      <c r="I23" s="198"/>
      <c r="J23" s="198"/>
      <c r="K23" s="198"/>
      <c r="L23" s="198"/>
      <c r="M23" s="45" t="str">
        <f t="shared" si="5"/>
        <v/>
      </c>
      <c r="N23" s="162">
        <f t="shared" si="3"/>
        <v>0</v>
      </c>
      <c r="O23" s="162">
        <f t="shared" si="4"/>
        <v>0</v>
      </c>
      <c r="P23" s="162">
        <f t="shared" si="6"/>
        <v>0</v>
      </c>
      <c r="Q23" s="123"/>
      <c r="R23" s="123"/>
      <c r="S23" s="164"/>
      <c r="T23" s="164"/>
      <c r="V23" s="1"/>
    </row>
    <row r="24" spans="1:22" x14ac:dyDescent="0.2">
      <c r="A24" s="81">
        <v>18</v>
      </c>
      <c r="B24" s="81">
        <f t="shared" si="2"/>
        <v>0</v>
      </c>
      <c r="C24" s="111"/>
      <c r="D24" s="217"/>
      <c r="E24" s="200"/>
      <c r="F24" s="200"/>
      <c r="G24" s="200"/>
      <c r="H24" s="200"/>
      <c r="I24" s="200"/>
      <c r="J24" s="200"/>
      <c r="K24" s="200"/>
      <c r="L24" s="200"/>
      <c r="M24" s="45" t="str">
        <f t="shared" si="5"/>
        <v/>
      </c>
      <c r="N24" s="162">
        <f t="shared" si="3"/>
        <v>0</v>
      </c>
      <c r="O24" s="162">
        <f t="shared" si="4"/>
        <v>0</v>
      </c>
      <c r="P24" s="162">
        <f t="shared" si="6"/>
        <v>0</v>
      </c>
      <c r="Q24" s="123"/>
      <c r="R24" s="123"/>
      <c r="S24" s="164"/>
      <c r="T24" s="164"/>
      <c r="V24" s="1"/>
    </row>
    <row r="25" spans="1:22" x14ac:dyDescent="0.2">
      <c r="A25" s="81">
        <v>19</v>
      </c>
      <c r="B25" s="81">
        <f t="shared" si="2"/>
        <v>0</v>
      </c>
      <c r="C25" s="111"/>
      <c r="D25" s="217"/>
      <c r="E25" s="200"/>
      <c r="F25" s="200"/>
      <c r="G25" s="200"/>
      <c r="H25" s="200"/>
      <c r="I25" s="200"/>
      <c r="J25" s="200"/>
      <c r="K25" s="200"/>
      <c r="L25" s="200"/>
      <c r="M25" s="45" t="str">
        <f t="shared" si="5"/>
        <v/>
      </c>
      <c r="N25" s="162">
        <f t="shared" si="3"/>
        <v>0</v>
      </c>
      <c r="O25" s="162">
        <f t="shared" si="4"/>
        <v>0</v>
      </c>
      <c r="P25" s="162">
        <f t="shared" si="6"/>
        <v>0</v>
      </c>
      <c r="Q25" s="123"/>
      <c r="R25" s="123"/>
      <c r="S25" s="164"/>
      <c r="T25" s="164"/>
      <c r="V25" s="1"/>
    </row>
    <row r="26" spans="1:22" x14ac:dyDescent="0.2">
      <c r="A26" s="81">
        <v>20</v>
      </c>
      <c r="B26" s="81">
        <f t="shared" si="2"/>
        <v>0</v>
      </c>
      <c r="C26" s="111"/>
      <c r="D26" s="217"/>
      <c r="E26" s="200"/>
      <c r="F26" s="200"/>
      <c r="G26" s="200"/>
      <c r="H26" s="200"/>
      <c r="I26" s="200"/>
      <c r="J26" s="200"/>
      <c r="K26" s="200"/>
      <c r="L26" s="200"/>
      <c r="M26" s="45" t="str">
        <f t="shared" si="5"/>
        <v/>
      </c>
      <c r="N26" s="162">
        <f t="shared" si="3"/>
        <v>0</v>
      </c>
      <c r="O26" s="162">
        <f t="shared" si="4"/>
        <v>0</v>
      </c>
      <c r="P26" s="162">
        <f t="shared" si="6"/>
        <v>0</v>
      </c>
      <c r="Q26" s="123"/>
      <c r="R26" s="123"/>
      <c r="S26" s="164"/>
      <c r="T26" s="164"/>
      <c r="V26" s="1"/>
    </row>
    <row r="27" spans="1:22" x14ac:dyDescent="0.2">
      <c r="A27" s="81">
        <v>21</v>
      </c>
      <c r="B27" s="81">
        <f t="shared" si="2"/>
        <v>0</v>
      </c>
      <c r="C27" s="111"/>
      <c r="D27" s="199"/>
      <c r="E27" s="200"/>
      <c r="F27" s="200"/>
      <c r="G27" s="200"/>
      <c r="H27" s="200"/>
      <c r="I27" s="200"/>
      <c r="J27" s="200"/>
      <c r="K27" s="200"/>
      <c r="L27" s="200"/>
      <c r="M27" s="45" t="str">
        <f t="shared" si="5"/>
        <v/>
      </c>
      <c r="N27" s="162">
        <f t="shared" si="3"/>
        <v>0</v>
      </c>
      <c r="O27" s="162">
        <f t="shared" si="4"/>
        <v>0</v>
      </c>
      <c r="P27" s="162">
        <f t="shared" si="6"/>
        <v>0</v>
      </c>
      <c r="Q27" s="123"/>
      <c r="R27" s="123"/>
      <c r="S27" s="164"/>
      <c r="T27" s="164"/>
      <c r="V27" s="1"/>
    </row>
    <row r="28" spans="1:22" x14ac:dyDescent="0.2">
      <c r="A28" s="81">
        <v>22</v>
      </c>
      <c r="B28" s="81">
        <f t="shared" si="2"/>
        <v>0</v>
      </c>
      <c r="C28" s="111"/>
      <c r="D28" s="199"/>
      <c r="E28" s="200"/>
      <c r="F28" s="200"/>
      <c r="G28" s="200"/>
      <c r="H28" s="200"/>
      <c r="I28" s="200"/>
      <c r="J28" s="200"/>
      <c r="K28" s="200"/>
      <c r="L28" s="200"/>
      <c r="M28" s="45" t="str">
        <f t="shared" si="5"/>
        <v/>
      </c>
      <c r="N28" s="162">
        <f t="shared" si="3"/>
        <v>0</v>
      </c>
      <c r="O28" s="162">
        <f t="shared" si="4"/>
        <v>0</v>
      </c>
      <c r="P28" s="162">
        <f t="shared" si="6"/>
        <v>0</v>
      </c>
      <c r="Q28" s="123"/>
      <c r="R28" s="123"/>
      <c r="S28" s="164"/>
      <c r="T28" s="164"/>
      <c r="V28" s="1"/>
    </row>
    <row r="29" spans="1:22" x14ac:dyDescent="0.2">
      <c r="A29" s="81">
        <v>23</v>
      </c>
      <c r="B29" s="81">
        <f t="shared" si="2"/>
        <v>0</v>
      </c>
      <c r="C29" s="111"/>
      <c r="D29" s="199"/>
      <c r="E29" s="200"/>
      <c r="F29" s="200"/>
      <c r="G29" s="200"/>
      <c r="H29" s="200"/>
      <c r="I29" s="200"/>
      <c r="J29" s="200"/>
      <c r="K29" s="200"/>
      <c r="L29" s="200"/>
      <c r="M29" s="45" t="str">
        <f t="shared" si="5"/>
        <v/>
      </c>
      <c r="N29" s="162">
        <f t="shared" si="3"/>
        <v>0</v>
      </c>
      <c r="O29" s="162">
        <f t="shared" si="4"/>
        <v>0</v>
      </c>
      <c r="P29" s="162">
        <f t="shared" si="6"/>
        <v>0</v>
      </c>
      <c r="Q29" s="123"/>
      <c r="R29" s="123"/>
      <c r="S29" s="164"/>
      <c r="T29" s="164"/>
      <c r="V29" s="1"/>
    </row>
    <row r="30" spans="1:22" x14ac:dyDescent="0.2">
      <c r="A30" s="81">
        <v>24</v>
      </c>
      <c r="B30" s="81">
        <f t="shared" si="2"/>
        <v>0</v>
      </c>
      <c r="C30" s="111"/>
      <c r="D30" s="199"/>
      <c r="E30" s="200"/>
      <c r="F30" s="200"/>
      <c r="G30" s="200"/>
      <c r="H30" s="200"/>
      <c r="I30" s="200"/>
      <c r="J30" s="200"/>
      <c r="K30" s="200"/>
      <c r="L30" s="200"/>
      <c r="M30" s="45" t="str">
        <f t="shared" si="5"/>
        <v/>
      </c>
      <c r="N30" s="162">
        <f t="shared" si="3"/>
        <v>0</v>
      </c>
      <c r="O30" s="162">
        <f t="shared" si="4"/>
        <v>0</v>
      </c>
      <c r="P30" s="162">
        <f t="shared" si="6"/>
        <v>0</v>
      </c>
      <c r="Q30" s="123"/>
      <c r="R30" s="123"/>
      <c r="S30" s="164"/>
      <c r="T30" s="164"/>
      <c r="V30" s="1"/>
    </row>
    <row r="31" spans="1:22" x14ac:dyDescent="0.2">
      <c r="A31" s="81">
        <v>25</v>
      </c>
      <c r="B31" s="81">
        <f t="shared" si="2"/>
        <v>0</v>
      </c>
      <c r="C31" s="111"/>
      <c r="D31" s="199"/>
      <c r="E31" s="200"/>
      <c r="F31" s="200"/>
      <c r="G31" s="200"/>
      <c r="H31" s="200"/>
      <c r="I31" s="200"/>
      <c r="J31" s="200"/>
      <c r="K31" s="200"/>
      <c r="L31" s="200"/>
      <c r="M31" s="45" t="str">
        <f t="shared" si="5"/>
        <v/>
      </c>
      <c r="N31" s="162">
        <f t="shared" si="3"/>
        <v>0</v>
      </c>
      <c r="O31" s="162">
        <f t="shared" si="4"/>
        <v>0</v>
      </c>
      <c r="P31" s="162">
        <f t="shared" si="6"/>
        <v>0</v>
      </c>
      <c r="Q31" s="123"/>
      <c r="R31" s="123"/>
      <c r="S31" s="164"/>
      <c r="T31" s="164"/>
      <c r="V31" s="1"/>
    </row>
    <row r="32" spans="1:22" x14ac:dyDescent="0.2">
      <c r="A32" s="81">
        <v>26</v>
      </c>
      <c r="B32" s="81">
        <f t="shared" si="2"/>
        <v>0</v>
      </c>
      <c r="C32" s="111"/>
      <c r="D32" s="199"/>
      <c r="E32" s="200"/>
      <c r="F32" s="200"/>
      <c r="G32" s="200"/>
      <c r="H32" s="200"/>
      <c r="I32" s="200"/>
      <c r="J32" s="200"/>
      <c r="K32" s="200"/>
      <c r="L32" s="200"/>
      <c r="M32" s="45" t="str">
        <f t="shared" si="5"/>
        <v/>
      </c>
      <c r="N32" s="162">
        <f t="shared" si="3"/>
        <v>0</v>
      </c>
      <c r="O32" s="162">
        <f t="shared" si="4"/>
        <v>0</v>
      </c>
      <c r="P32" s="162">
        <f t="shared" si="6"/>
        <v>0</v>
      </c>
      <c r="Q32" s="123"/>
      <c r="R32" s="123"/>
      <c r="S32" s="164"/>
      <c r="T32" s="164"/>
      <c r="V32" s="1"/>
    </row>
    <row r="33" spans="1:22" x14ac:dyDescent="0.2">
      <c r="A33" s="81">
        <v>27</v>
      </c>
      <c r="B33" s="81">
        <f t="shared" si="2"/>
        <v>0</v>
      </c>
      <c r="C33" s="111"/>
      <c r="D33" s="199"/>
      <c r="E33" s="200"/>
      <c r="F33" s="200"/>
      <c r="G33" s="200"/>
      <c r="H33" s="200"/>
      <c r="I33" s="200"/>
      <c r="J33" s="200"/>
      <c r="K33" s="200"/>
      <c r="L33" s="200"/>
      <c r="M33" s="45" t="str">
        <f t="shared" si="5"/>
        <v/>
      </c>
      <c r="N33" s="162">
        <f t="shared" si="3"/>
        <v>0</v>
      </c>
      <c r="O33" s="162">
        <f t="shared" si="4"/>
        <v>0</v>
      </c>
      <c r="P33" s="162">
        <f t="shared" si="6"/>
        <v>0</v>
      </c>
      <c r="Q33" s="123"/>
      <c r="R33" s="123"/>
      <c r="S33" s="164"/>
      <c r="T33" s="164"/>
      <c r="V33" s="1"/>
    </row>
    <row r="34" spans="1:22" x14ac:dyDescent="0.2">
      <c r="A34" s="81">
        <v>28</v>
      </c>
      <c r="B34" s="81">
        <f t="shared" si="2"/>
        <v>0</v>
      </c>
      <c r="C34" s="111"/>
      <c r="D34" s="199"/>
      <c r="E34" s="200"/>
      <c r="F34" s="200"/>
      <c r="G34" s="200"/>
      <c r="H34" s="200"/>
      <c r="I34" s="200"/>
      <c r="J34" s="200"/>
      <c r="K34" s="200"/>
      <c r="L34" s="200"/>
      <c r="M34" s="45" t="str">
        <f t="shared" si="5"/>
        <v/>
      </c>
      <c r="N34" s="162">
        <f t="shared" si="3"/>
        <v>0</v>
      </c>
      <c r="O34" s="162">
        <f t="shared" si="4"/>
        <v>0</v>
      </c>
      <c r="P34" s="162">
        <f t="shared" si="6"/>
        <v>0</v>
      </c>
      <c r="Q34" s="123"/>
      <c r="R34" s="123"/>
      <c r="S34" s="164"/>
      <c r="T34" s="164"/>
      <c r="V34" s="1"/>
    </row>
    <row r="35" spans="1:22" x14ac:dyDescent="0.2">
      <c r="A35" s="81">
        <v>29</v>
      </c>
      <c r="B35" s="81">
        <f t="shared" si="2"/>
        <v>0</v>
      </c>
      <c r="C35" s="111"/>
      <c r="D35" s="199"/>
      <c r="E35" s="200"/>
      <c r="F35" s="200"/>
      <c r="G35" s="200"/>
      <c r="H35" s="200"/>
      <c r="I35" s="200"/>
      <c r="J35" s="200"/>
      <c r="K35" s="200"/>
      <c r="L35" s="200"/>
      <c r="M35" s="45" t="str">
        <f t="shared" si="5"/>
        <v/>
      </c>
      <c r="N35" s="162">
        <f t="shared" si="3"/>
        <v>0</v>
      </c>
      <c r="O35" s="162">
        <f t="shared" si="4"/>
        <v>0</v>
      </c>
      <c r="P35" s="162">
        <f t="shared" si="6"/>
        <v>0</v>
      </c>
      <c r="Q35" s="123"/>
      <c r="R35" s="123"/>
      <c r="S35" s="164"/>
      <c r="T35" s="164"/>
      <c r="V35" s="1"/>
    </row>
    <row r="36" spans="1:22" x14ac:dyDescent="0.2">
      <c r="A36" s="81">
        <v>30</v>
      </c>
      <c r="B36" s="81">
        <f t="shared" si="2"/>
        <v>0</v>
      </c>
      <c r="C36" s="111"/>
      <c r="D36" s="199"/>
      <c r="E36" s="200"/>
      <c r="F36" s="200"/>
      <c r="G36" s="200"/>
      <c r="H36" s="200"/>
      <c r="I36" s="200"/>
      <c r="J36" s="200"/>
      <c r="K36" s="200"/>
      <c r="L36" s="200"/>
      <c r="M36" s="45" t="str">
        <f t="shared" si="5"/>
        <v/>
      </c>
      <c r="N36" s="162">
        <f t="shared" si="3"/>
        <v>0</v>
      </c>
      <c r="O36" s="162">
        <f t="shared" si="4"/>
        <v>0</v>
      </c>
      <c r="P36" s="162">
        <f t="shared" si="6"/>
        <v>0</v>
      </c>
      <c r="Q36" s="123"/>
      <c r="R36" s="123"/>
      <c r="S36" s="164"/>
      <c r="T36" s="164"/>
      <c r="V36" s="1"/>
    </row>
    <row r="37" spans="1:22" x14ac:dyDescent="0.2">
      <c r="A37" s="81">
        <v>31</v>
      </c>
      <c r="B37" s="81">
        <f t="shared" si="2"/>
        <v>0</v>
      </c>
      <c r="C37" s="111"/>
      <c r="D37" s="199"/>
      <c r="E37" s="200"/>
      <c r="F37" s="200"/>
      <c r="G37" s="200"/>
      <c r="H37" s="200"/>
      <c r="I37" s="200"/>
      <c r="J37" s="200"/>
      <c r="K37" s="200"/>
      <c r="L37" s="200"/>
      <c r="M37" s="45" t="str">
        <f t="shared" si="5"/>
        <v/>
      </c>
      <c r="N37" s="162">
        <f t="shared" si="3"/>
        <v>0</v>
      </c>
      <c r="O37" s="162">
        <f t="shared" si="4"/>
        <v>0</v>
      </c>
      <c r="P37" s="162">
        <f t="shared" si="6"/>
        <v>0</v>
      </c>
      <c r="Q37" s="123"/>
      <c r="R37" s="123"/>
      <c r="S37" s="164"/>
      <c r="T37" s="164"/>
      <c r="V37" s="1"/>
    </row>
    <row r="38" spans="1:22" x14ac:dyDescent="0.2">
      <c r="A38" s="81">
        <v>32</v>
      </c>
      <c r="B38" s="81">
        <f t="shared" si="2"/>
        <v>0</v>
      </c>
      <c r="C38" s="111"/>
      <c r="D38" s="199"/>
      <c r="E38" s="200"/>
      <c r="F38" s="200"/>
      <c r="G38" s="200"/>
      <c r="H38" s="200"/>
      <c r="I38" s="200"/>
      <c r="J38" s="200"/>
      <c r="K38" s="200"/>
      <c r="L38" s="200"/>
      <c r="M38" s="45" t="str">
        <f t="shared" si="5"/>
        <v/>
      </c>
      <c r="N38" s="162">
        <f t="shared" si="3"/>
        <v>0</v>
      </c>
      <c r="O38" s="162">
        <f t="shared" si="4"/>
        <v>0</v>
      </c>
      <c r="P38" s="162">
        <f t="shared" si="6"/>
        <v>0</v>
      </c>
      <c r="Q38" s="123"/>
      <c r="R38" s="123"/>
      <c r="S38" s="164"/>
      <c r="T38" s="164"/>
      <c r="V38" s="1"/>
    </row>
    <row r="39" spans="1:22" x14ac:dyDescent="0.2">
      <c r="A39" s="81">
        <v>33</v>
      </c>
      <c r="B39" s="81">
        <f t="shared" si="2"/>
        <v>0</v>
      </c>
      <c r="C39" s="111"/>
      <c r="D39" s="199"/>
      <c r="E39" s="200"/>
      <c r="F39" s="200"/>
      <c r="G39" s="200"/>
      <c r="H39" s="200"/>
      <c r="I39" s="200"/>
      <c r="J39" s="200"/>
      <c r="K39" s="200"/>
      <c r="L39" s="200"/>
      <c r="M39" s="45" t="str">
        <f t="shared" si="5"/>
        <v/>
      </c>
      <c r="N39" s="162">
        <f t="shared" si="3"/>
        <v>0</v>
      </c>
      <c r="O39" s="162">
        <f t="shared" si="4"/>
        <v>0</v>
      </c>
      <c r="P39" s="162">
        <f t="shared" si="6"/>
        <v>0</v>
      </c>
      <c r="Q39" s="123"/>
      <c r="R39" s="123"/>
      <c r="S39" s="164"/>
      <c r="T39" s="164"/>
      <c r="V39" s="1"/>
    </row>
    <row r="40" spans="1:22" x14ac:dyDescent="0.2">
      <c r="A40" s="81">
        <v>34</v>
      </c>
      <c r="B40" s="81">
        <f t="shared" si="2"/>
        <v>0</v>
      </c>
      <c r="C40" s="111"/>
      <c r="D40" s="199"/>
      <c r="E40" s="200"/>
      <c r="F40" s="200"/>
      <c r="G40" s="200"/>
      <c r="H40" s="200"/>
      <c r="I40" s="200"/>
      <c r="J40" s="200"/>
      <c r="K40" s="200"/>
      <c r="L40" s="200"/>
      <c r="M40" s="45" t="str">
        <f t="shared" si="5"/>
        <v/>
      </c>
      <c r="N40" s="162">
        <f t="shared" si="3"/>
        <v>0</v>
      </c>
      <c r="O40" s="162">
        <f t="shared" si="4"/>
        <v>0</v>
      </c>
      <c r="P40" s="162">
        <f t="shared" si="6"/>
        <v>0</v>
      </c>
      <c r="Q40" s="123"/>
      <c r="R40" s="123"/>
      <c r="S40" s="164"/>
      <c r="T40" s="164"/>
      <c r="V40" s="1"/>
    </row>
    <row r="41" spans="1:22" x14ac:dyDescent="0.2">
      <c r="A41" s="81">
        <v>35</v>
      </c>
      <c r="B41" s="81">
        <f t="shared" si="2"/>
        <v>0</v>
      </c>
      <c r="C41" s="111"/>
      <c r="D41" s="199"/>
      <c r="E41" s="200"/>
      <c r="F41" s="200"/>
      <c r="G41" s="200"/>
      <c r="H41" s="200"/>
      <c r="I41" s="200"/>
      <c r="J41" s="200"/>
      <c r="K41" s="200"/>
      <c r="L41" s="200"/>
      <c r="M41" s="45" t="str">
        <f t="shared" si="5"/>
        <v/>
      </c>
      <c r="N41" s="162">
        <f t="shared" si="3"/>
        <v>0</v>
      </c>
      <c r="O41" s="162">
        <f t="shared" si="4"/>
        <v>0</v>
      </c>
      <c r="P41" s="162">
        <f t="shared" si="6"/>
        <v>0</v>
      </c>
      <c r="Q41" s="123"/>
      <c r="R41" s="123"/>
      <c r="S41" s="164"/>
      <c r="T41" s="164"/>
      <c r="V41" s="1"/>
    </row>
    <row r="42" spans="1:22" x14ac:dyDescent="0.2">
      <c r="A42" s="81">
        <v>36</v>
      </c>
      <c r="B42" s="81">
        <f t="shared" si="2"/>
        <v>0</v>
      </c>
      <c r="C42" s="111"/>
      <c r="D42" s="199"/>
      <c r="E42" s="200"/>
      <c r="F42" s="200"/>
      <c r="G42" s="200"/>
      <c r="H42" s="200"/>
      <c r="I42" s="200"/>
      <c r="J42" s="200"/>
      <c r="K42" s="200"/>
      <c r="L42" s="200"/>
      <c r="M42" s="45" t="str">
        <f t="shared" si="5"/>
        <v/>
      </c>
      <c r="N42" s="162">
        <f t="shared" si="3"/>
        <v>0</v>
      </c>
      <c r="O42" s="162">
        <f t="shared" si="4"/>
        <v>0</v>
      </c>
      <c r="P42" s="162">
        <f t="shared" si="6"/>
        <v>0</v>
      </c>
      <c r="Q42" s="140"/>
      <c r="R42" s="141"/>
      <c r="S42" s="164"/>
      <c r="T42" s="164"/>
      <c r="V42" s="1"/>
    </row>
    <row r="43" spans="1:22" x14ac:dyDescent="0.2">
      <c r="A43" s="81">
        <v>37</v>
      </c>
      <c r="B43" s="81">
        <f t="shared" si="2"/>
        <v>0</v>
      </c>
      <c r="C43" s="111"/>
      <c r="D43" s="199"/>
      <c r="E43" s="200"/>
      <c r="F43" s="200"/>
      <c r="G43" s="200"/>
      <c r="H43" s="200"/>
      <c r="I43" s="200"/>
      <c r="J43" s="200"/>
      <c r="K43" s="200"/>
      <c r="L43" s="200"/>
      <c r="M43" s="45" t="str">
        <f t="shared" si="5"/>
        <v/>
      </c>
      <c r="N43" s="162">
        <f t="shared" si="3"/>
        <v>0</v>
      </c>
      <c r="O43" s="162">
        <f t="shared" si="4"/>
        <v>0</v>
      </c>
      <c r="P43" s="162">
        <f t="shared" si="6"/>
        <v>0</v>
      </c>
      <c r="Q43" s="140"/>
      <c r="R43" s="141"/>
      <c r="S43" s="164"/>
      <c r="T43" s="164"/>
      <c r="V43" s="1"/>
    </row>
    <row r="44" spans="1:22" x14ac:dyDescent="0.2">
      <c r="A44" s="81">
        <v>38</v>
      </c>
      <c r="B44" s="81">
        <f t="shared" si="2"/>
        <v>0</v>
      </c>
      <c r="C44" s="111"/>
      <c r="D44" s="199"/>
      <c r="E44" s="200"/>
      <c r="F44" s="200"/>
      <c r="G44" s="200"/>
      <c r="H44" s="200"/>
      <c r="I44" s="200"/>
      <c r="J44" s="200"/>
      <c r="K44" s="200"/>
      <c r="L44" s="200"/>
      <c r="M44" s="45" t="str">
        <f t="shared" si="5"/>
        <v/>
      </c>
      <c r="N44" s="162">
        <f t="shared" si="3"/>
        <v>0</v>
      </c>
      <c r="O44" s="162">
        <f t="shared" si="4"/>
        <v>0</v>
      </c>
      <c r="P44" s="162">
        <f t="shared" si="6"/>
        <v>0</v>
      </c>
      <c r="Q44" s="140"/>
      <c r="R44" s="141"/>
      <c r="S44" s="164"/>
      <c r="T44" s="164"/>
      <c r="V44" s="1"/>
    </row>
    <row r="45" spans="1:22" x14ac:dyDescent="0.2">
      <c r="A45" s="81">
        <v>39</v>
      </c>
      <c r="B45" s="81">
        <f t="shared" si="2"/>
        <v>0</v>
      </c>
      <c r="C45" s="111"/>
      <c r="D45" s="199"/>
      <c r="E45" s="200"/>
      <c r="F45" s="200"/>
      <c r="G45" s="200"/>
      <c r="H45" s="200"/>
      <c r="I45" s="200"/>
      <c r="J45" s="200"/>
      <c r="K45" s="200"/>
      <c r="L45" s="200"/>
      <c r="M45" s="45" t="str">
        <f t="shared" si="5"/>
        <v/>
      </c>
      <c r="N45" s="162">
        <f t="shared" si="3"/>
        <v>0</v>
      </c>
      <c r="O45" s="162">
        <f t="shared" si="4"/>
        <v>0</v>
      </c>
      <c r="P45" s="162">
        <f t="shared" si="6"/>
        <v>0</v>
      </c>
      <c r="Q45" s="140"/>
      <c r="R45" s="141"/>
      <c r="S45" s="164"/>
      <c r="T45" s="164"/>
      <c r="V45" s="1"/>
    </row>
    <row r="46" spans="1:22" x14ac:dyDescent="0.2">
      <c r="A46" s="81">
        <v>40</v>
      </c>
      <c r="B46" s="81">
        <f t="shared" si="2"/>
        <v>0</v>
      </c>
      <c r="C46" s="111"/>
      <c r="D46" s="199"/>
      <c r="E46" s="200"/>
      <c r="F46" s="200"/>
      <c r="G46" s="200"/>
      <c r="H46" s="200"/>
      <c r="I46" s="200"/>
      <c r="J46" s="200"/>
      <c r="K46" s="200"/>
      <c r="L46" s="200"/>
      <c r="M46" s="45" t="str">
        <f t="shared" si="5"/>
        <v/>
      </c>
      <c r="N46" s="162">
        <f t="shared" si="3"/>
        <v>0</v>
      </c>
      <c r="O46" s="162">
        <f t="shared" si="4"/>
        <v>0</v>
      </c>
      <c r="P46" s="162">
        <f t="shared" si="6"/>
        <v>0</v>
      </c>
      <c r="Q46" s="140"/>
      <c r="R46" s="141"/>
      <c r="S46" s="164"/>
      <c r="T46" s="164"/>
      <c r="V46" s="1"/>
    </row>
    <row r="47" spans="1:22" x14ac:dyDescent="0.2">
      <c r="A47" s="81">
        <v>41</v>
      </c>
      <c r="B47" s="81">
        <f t="shared" si="2"/>
        <v>0</v>
      </c>
      <c r="C47" s="111"/>
      <c r="D47" s="199"/>
      <c r="E47" s="200"/>
      <c r="F47" s="200"/>
      <c r="G47" s="200"/>
      <c r="H47" s="200"/>
      <c r="I47" s="200"/>
      <c r="J47" s="200"/>
      <c r="K47" s="200"/>
      <c r="L47" s="200"/>
      <c r="M47" s="45" t="str">
        <f t="shared" si="5"/>
        <v/>
      </c>
      <c r="N47" s="162">
        <f t="shared" si="3"/>
        <v>0</v>
      </c>
      <c r="O47" s="162">
        <f t="shared" si="4"/>
        <v>0</v>
      </c>
      <c r="P47" s="162">
        <f t="shared" si="6"/>
        <v>0</v>
      </c>
      <c r="Q47" s="140"/>
      <c r="R47" s="141"/>
      <c r="S47" s="164"/>
      <c r="T47" s="164"/>
      <c r="V47" s="1"/>
    </row>
    <row r="48" spans="1:22" x14ac:dyDescent="0.2">
      <c r="A48" s="81">
        <v>42</v>
      </c>
      <c r="B48" s="81">
        <f t="shared" si="2"/>
        <v>0</v>
      </c>
      <c r="C48" s="111"/>
      <c r="D48" s="199"/>
      <c r="E48" s="200"/>
      <c r="F48" s="200"/>
      <c r="G48" s="200"/>
      <c r="H48" s="200"/>
      <c r="I48" s="200"/>
      <c r="J48" s="200"/>
      <c r="K48" s="200"/>
      <c r="L48" s="200"/>
      <c r="M48" s="45" t="str">
        <f t="shared" si="5"/>
        <v/>
      </c>
      <c r="N48" s="162">
        <f t="shared" si="3"/>
        <v>0</v>
      </c>
      <c r="O48" s="162">
        <f t="shared" si="4"/>
        <v>0</v>
      </c>
      <c r="P48" s="162">
        <f t="shared" si="6"/>
        <v>0</v>
      </c>
      <c r="Q48" s="140"/>
      <c r="R48" s="141"/>
      <c r="S48" s="164"/>
      <c r="T48" s="164"/>
      <c r="V48" s="1"/>
    </row>
    <row r="49" spans="1:22" x14ac:dyDescent="0.2">
      <c r="A49" s="81">
        <v>43</v>
      </c>
      <c r="B49" s="81">
        <f t="shared" si="2"/>
        <v>0</v>
      </c>
      <c r="C49" s="111"/>
      <c r="D49" s="199"/>
      <c r="E49" s="200"/>
      <c r="F49" s="200"/>
      <c r="G49" s="200"/>
      <c r="H49" s="200"/>
      <c r="I49" s="200"/>
      <c r="J49" s="200"/>
      <c r="K49" s="200"/>
      <c r="L49" s="200"/>
      <c r="M49" s="45" t="str">
        <f t="shared" si="5"/>
        <v/>
      </c>
      <c r="N49" s="162">
        <f t="shared" si="3"/>
        <v>0</v>
      </c>
      <c r="O49" s="162">
        <f t="shared" si="4"/>
        <v>0</v>
      </c>
      <c r="P49" s="162">
        <f t="shared" si="6"/>
        <v>0</v>
      </c>
      <c r="Q49" s="140"/>
      <c r="R49" s="141"/>
      <c r="S49" s="164"/>
      <c r="T49" s="164"/>
      <c r="V49" s="1"/>
    </row>
    <row r="50" spans="1:22" x14ac:dyDescent="0.2">
      <c r="A50" s="81">
        <v>44</v>
      </c>
      <c r="B50" s="81">
        <f t="shared" si="2"/>
        <v>0</v>
      </c>
      <c r="C50" s="111"/>
      <c r="D50" s="199"/>
      <c r="E50" s="200"/>
      <c r="F50" s="200"/>
      <c r="G50" s="200"/>
      <c r="H50" s="200"/>
      <c r="I50" s="200"/>
      <c r="J50" s="200"/>
      <c r="K50" s="200"/>
      <c r="L50" s="200"/>
      <c r="M50" s="45" t="str">
        <f t="shared" si="5"/>
        <v/>
      </c>
      <c r="N50" s="162">
        <f t="shared" si="3"/>
        <v>0</v>
      </c>
      <c r="O50" s="162">
        <f t="shared" si="4"/>
        <v>0</v>
      </c>
      <c r="P50" s="162">
        <f t="shared" si="6"/>
        <v>0</v>
      </c>
      <c r="Q50" s="140"/>
      <c r="R50" s="141"/>
      <c r="S50" s="164"/>
      <c r="T50" s="164"/>
      <c r="V50" s="1"/>
    </row>
    <row r="51" spans="1:22" x14ac:dyDescent="0.2">
      <c r="A51" s="81">
        <v>45</v>
      </c>
      <c r="B51" s="81">
        <f t="shared" si="2"/>
        <v>0</v>
      </c>
      <c r="C51" s="111"/>
      <c r="D51" s="199"/>
      <c r="E51" s="200"/>
      <c r="F51" s="200"/>
      <c r="G51" s="200"/>
      <c r="H51" s="200"/>
      <c r="I51" s="200"/>
      <c r="J51" s="200"/>
      <c r="K51" s="200"/>
      <c r="L51" s="200"/>
      <c r="M51" s="45" t="str">
        <f t="shared" si="5"/>
        <v/>
      </c>
      <c r="N51" s="162">
        <f t="shared" si="3"/>
        <v>0</v>
      </c>
      <c r="O51" s="162">
        <f t="shared" si="4"/>
        <v>0</v>
      </c>
      <c r="P51" s="162">
        <f t="shared" si="6"/>
        <v>0</v>
      </c>
      <c r="Q51" s="140"/>
      <c r="R51" s="141"/>
      <c r="S51" s="164"/>
      <c r="T51" s="164"/>
      <c r="V51" s="1"/>
    </row>
    <row r="52" spans="1:22" x14ac:dyDescent="0.2">
      <c r="A52" s="81">
        <v>46</v>
      </c>
      <c r="B52" s="81">
        <f t="shared" si="2"/>
        <v>0</v>
      </c>
      <c r="C52" s="111"/>
      <c r="D52" s="199"/>
      <c r="E52" s="200"/>
      <c r="F52" s="200"/>
      <c r="G52" s="200"/>
      <c r="H52" s="200"/>
      <c r="I52" s="200"/>
      <c r="J52" s="200"/>
      <c r="K52" s="200"/>
      <c r="L52" s="200"/>
      <c r="M52" s="45" t="str">
        <f t="shared" si="5"/>
        <v/>
      </c>
      <c r="N52" s="162">
        <f t="shared" si="3"/>
        <v>0</v>
      </c>
      <c r="O52" s="162">
        <f t="shared" si="4"/>
        <v>0</v>
      </c>
      <c r="P52" s="162">
        <f t="shared" si="6"/>
        <v>0</v>
      </c>
      <c r="Q52" s="140"/>
      <c r="R52" s="141"/>
      <c r="S52" s="164"/>
      <c r="T52" s="164"/>
      <c r="V52" s="1"/>
    </row>
    <row r="53" spans="1:22" x14ac:dyDescent="0.2">
      <c r="A53" s="81">
        <v>47</v>
      </c>
      <c r="B53" s="81">
        <f t="shared" si="2"/>
        <v>0</v>
      </c>
      <c r="C53" s="111"/>
      <c r="D53" s="199"/>
      <c r="E53" s="200"/>
      <c r="F53" s="200"/>
      <c r="G53" s="200"/>
      <c r="H53" s="200"/>
      <c r="I53" s="200"/>
      <c r="J53" s="200"/>
      <c r="K53" s="200"/>
      <c r="L53" s="200"/>
      <c r="M53" s="45" t="str">
        <f t="shared" si="5"/>
        <v/>
      </c>
      <c r="N53" s="162">
        <f t="shared" si="3"/>
        <v>0</v>
      </c>
      <c r="O53" s="162">
        <f t="shared" si="4"/>
        <v>0</v>
      </c>
      <c r="P53" s="162">
        <f t="shared" si="6"/>
        <v>0</v>
      </c>
      <c r="Q53" s="140"/>
      <c r="R53" s="141"/>
      <c r="S53" s="164"/>
      <c r="T53" s="164"/>
      <c r="V53" s="1"/>
    </row>
    <row r="54" spans="1:22" x14ac:dyDescent="0.2">
      <c r="A54" s="81">
        <v>48</v>
      </c>
      <c r="B54" s="81">
        <f t="shared" si="2"/>
        <v>0</v>
      </c>
      <c r="C54" s="111"/>
      <c r="D54" s="199"/>
      <c r="E54" s="200"/>
      <c r="F54" s="200"/>
      <c r="G54" s="200"/>
      <c r="H54" s="200"/>
      <c r="I54" s="200"/>
      <c r="J54" s="200"/>
      <c r="K54" s="200"/>
      <c r="L54" s="200"/>
      <c r="M54" s="45" t="str">
        <f t="shared" si="5"/>
        <v/>
      </c>
      <c r="N54" s="162">
        <f>L54*100/2</f>
        <v>0</v>
      </c>
      <c r="O54" s="162">
        <f>K54*100</f>
        <v>0</v>
      </c>
      <c r="P54" s="162">
        <f>(J54-K54)*100</f>
        <v>0</v>
      </c>
      <c r="Q54" s="140"/>
      <c r="R54" s="141"/>
      <c r="S54" s="141"/>
      <c r="T54" s="141"/>
    </row>
    <row r="55" spans="1:22" x14ac:dyDescent="0.2">
      <c r="A55" s="81">
        <v>49</v>
      </c>
      <c r="B55" s="81">
        <f t="shared" si="2"/>
        <v>0</v>
      </c>
      <c r="C55" s="111"/>
      <c r="D55" s="199"/>
      <c r="E55" s="200"/>
      <c r="F55" s="200"/>
      <c r="G55" s="200"/>
      <c r="H55" s="200"/>
      <c r="I55" s="200"/>
      <c r="J55" s="200"/>
      <c r="K55" s="200"/>
      <c r="L55" s="200"/>
      <c r="M55" s="45" t="str">
        <f t="shared" si="5"/>
        <v/>
      </c>
      <c r="N55" s="162">
        <f>L55*100/2</f>
        <v>0</v>
      </c>
      <c r="O55" s="162">
        <f>K55*100</f>
        <v>0</v>
      </c>
      <c r="P55" s="162">
        <f>(J55-K55)*100</f>
        <v>0</v>
      </c>
      <c r="Q55" s="140"/>
      <c r="R55" s="141"/>
      <c r="S55" s="141"/>
      <c r="T55" s="141"/>
    </row>
    <row r="56" spans="1:22" x14ac:dyDescent="0.2">
      <c r="A56" s="81">
        <v>50</v>
      </c>
      <c r="B56" s="81">
        <f t="shared" si="2"/>
        <v>0</v>
      </c>
      <c r="C56" s="111"/>
      <c r="D56" s="199"/>
      <c r="E56" s="200"/>
      <c r="F56" s="200"/>
      <c r="G56" s="200"/>
      <c r="H56" s="200"/>
      <c r="I56" s="200"/>
      <c r="J56" s="200"/>
      <c r="K56" s="200"/>
      <c r="L56" s="200"/>
      <c r="M56" s="45" t="str">
        <f t="shared" si="5"/>
        <v/>
      </c>
      <c r="N56" s="162">
        <f>L56*100/2</f>
        <v>0</v>
      </c>
      <c r="O56" s="162">
        <f>K56*100</f>
        <v>0</v>
      </c>
      <c r="P56" s="162">
        <f>(J56-K56)*100</f>
        <v>0</v>
      </c>
      <c r="Q56" s="140"/>
      <c r="R56" s="141"/>
      <c r="S56" s="141"/>
      <c r="T56" s="141"/>
    </row>
    <row r="57" spans="1:22" x14ac:dyDescent="0.2">
      <c r="A57" s="81">
        <v>51</v>
      </c>
      <c r="B57" s="81">
        <f t="shared" si="2"/>
        <v>0</v>
      </c>
      <c r="C57" s="111"/>
      <c r="D57" s="199"/>
      <c r="E57" s="200"/>
      <c r="F57" s="200"/>
      <c r="G57" s="200"/>
      <c r="H57" s="200"/>
      <c r="I57" s="200"/>
      <c r="J57" s="200"/>
      <c r="K57" s="200"/>
      <c r="L57" s="200"/>
      <c r="N57" s="162">
        <f t="shared" ref="N57:N120" si="7">L57*100/2</f>
        <v>0</v>
      </c>
      <c r="O57" s="162">
        <f t="shared" ref="O57:O120" si="8">K57*100</f>
        <v>0</v>
      </c>
      <c r="P57" s="162">
        <f t="shared" ref="P57:P120" si="9">(J57-K57)*100</f>
        <v>0</v>
      </c>
    </row>
    <row r="58" spans="1:22" x14ac:dyDescent="0.2">
      <c r="A58" s="81">
        <v>52</v>
      </c>
      <c r="B58" s="81">
        <f t="shared" si="2"/>
        <v>0</v>
      </c>
      <c r="C58" s="111"/>
      <c r="D58" s="199"/>
      <c r="E58" s="200"/>
      <c r="F58" s="200"/>
      <c r="G58" s="200"/>
      <c r="H58" s="200"/>
      <c r="I58" s="200"/>
      <c r="J58" s="200"/>
      <c r="K58" s="200"/>
      <c r="L58" s="200"/>
      <c r="N58" s="162">
        <f t="shared" si="7"/>
        <v>0</v>
      </c>
      <c r="O58" s="162">
        <f t="shared" si="8"/>
        <v>0</v>
      </c>
      <c r="P58" s="162">
        <f t="shared" si="9"/>
        <v>0</v>
      </c>
    </row>
    <row r="59" spans="1:22" x14ac:dyDescent="0.2">
      <c r="A59" s="81">
        <v>53</v>
      </c>
      <c r="B59" s="81">
        <f t="shared" si="2"/>
        <v>0</v>
      </c>
      <c r="C59" s="111"/>
      <c r="D59" s="199"/>
      <c r="E59" s="200"/>
      <c r="F59" s="200"/>
      <c r="G59" s="200"/>
      <c r="H59" s="200"/>
      <c r="I59" s="200"/>
      <c r="J59" s="200"/>
      <c r="K59" s="200"/>
      <c r="L59" s="200"/>
      <c r="N59" s="162">
        <f t="shared" si="7"/>
        <v>0</v>
      </c>
      <c r="O59" s="162">
        <f t="shared" si="8"/>
        <v>0</v>
      </c>
      <c r="P59" s="162">
        <f t="shared" si="9"/>
        <v>0</v>
      </c>
    </row>
    <row r="60" spans="1:22" x14ac:dyDescent="0.2">
      <c r="A60" s="81">
        <v>54</v>
      </c>
      <c r="B60" s="81">
        <f t="shared" si="2"/>
        <v>0</v>
      </c>
      <c r="C60" s="111"/>
      <c r="D60" s="199"/>
      <c r="E60" s="200"/>
      <c r="F60" s="200"/>
      <c r="G60" s="200"/>
      <c r="H60" s="200"/>
      <c r="I60" s="200"/>
      <c r="J60" s="200"/>
      <c r="K60" s="200"/>
      <c r="L60" s="200"/>
      <c r="N60" s="162">
        <f t="shared" si="7"/>
        <v>0</v>
      </c>
      <c r="O60" s="162">
        <f t="shared" si="8"/>
        <v>0</v>
      </c>
      <c r="P60" s="162">
        <f t="shared" si="9"/>
        <v>0</v>
      </c>
    </row>
    <row r="61" spans="1:22" x14ac:dyDescent="0.2">
      <c r="A61" s="81">
        <v>55</v>
      </c>
      <c r="B61" s="81">
        <f t="shared" si="2"/>
        <v>0</v>
      </c>
      <c r="C61" s="111"/>
      <c r="D61" s="199"/>
      <c r="E61" s="200"/>
      <c r="F61" s="200"/>
      <c r="G61" s="200"/>
      <c r="H61" s="200"/>
      <c r="I61" s="200"/>
      <c r="J61" s="200"/>
      <c r="K61" s="200"/>
      <c r="L61" s="200"/>
      <c r="N61" s="162">
        <f t="shared" si="7"/>
        <v>0</v>
      </c>
      <c r="O61" s="162">
        <f t="shared" si="8"/>
        <v>0</v>
      </c>
      <c r="P61" s="162">
        <f t="shared" si="9"/>
        <v>0</v>
      </c>
    </row>
    <row r="62" spans="1:22" x14ac:dyDescent="0.2">
      <c r="A62" s="81">
        <v>56</v>
      </c>
      <c r="B62" s="81">
        <f t="shared" si="2"/>
        <v>0</v>
      </c>
      <c r="C62" s="111"/>
      <c r="D62" s="199"/>
      <c r="E62" s="200"/>
      <c r="F62" s="200"/>
      <c r="G62" s="200"/>
      <c r="H62" s="200"/>
      <c r="I62" s="200"/>
      <c r="J62" s="200"/>
      <c r="K62" s="200"/>
      <c r="L62" s="200"/>
      <c r="N62" s="162">
        <f t="shared" si="7"/>
        <v>0</v>
      </c>
      <c r="O62" s="162">
        <f t="shared" si="8"/>
        <v>0</v>
      </c>
      <c r="P62" s="162">
        <f t="shared" si="9"/>
        <v>0</v>
      </c>
    </row>
    <row r="63" spans="1:22" x14ac:dyDescent="0.2">
      <c r="A63" s="81">
        <v>57</v>
      </c>
      <c r="B63" s="81">
        <f t="shared" si="2"/>
        <v>0</v>
      </c>
      <c r="C63" s="111"/>
      <c r="D63" s="199"/>
      <c r="E63" s="200"/>
      <c r="F63" s="200"/>
      <c r="G63" s="200"/>
      <c r="H63" s="200"/>
      <c r="I63" s="200"/>
      <c r="J63" s="200"/>
      <c r="K63" s="200"/>
      <c r="L63" s="200"/>
      <c r="N63" s="162">
        <f t="shared" si="7"/>
        <v>0</v>
      </c>
      <c r="O63" s="162">
        <f t="shared" si="8"/>
        <v>0</v>
      </c>
      <c r="P63" s="162">
        <f t="shared" si="9"/>
        <v>0</v>
      </c>
    </row>
    <row r="64" spans="1:22" x14ac:dyDescent="0.2">
      <c r="A64" s="81">
        <v>58</v>
      </c>
      <c r="B64" s="81">
        <f t="shared" si="2"/>
        <v>0</v>
      </c>
      <c r="C64" s="111"/>
      <c r="D64" s="199"/>
      <c r="E64" s="200"/>
      <c r="F64" s="200"/>
      <c r="G64" s="200"/>
      <c r="H64" s="200"/>
      <c r="I64" s="200"/>
      <c r="J64" s="200"/>
      <c r="K64" s="200"/>
      <c r="L64" s="200"/>
      <c r="N64" s="162">
        <f t="shared" si="7"/>
        <v>0</v>
      </c>
      <c r="O64" s="162">
        <f t="shared" si="8"/>
        <v>0</v>
      </c>
      <c r="P64" s="162">
        <f t="shared" si="9"/>
        <v>0</v>
      </c>
    </row>
    <row r="65" spans="1:16" x14ac:dyDescent="0.2">
      <c r="A65" s="81">
        <v>59</v>
      </c>
      <c r="B65" s="81">
        <f t="shared" si="2"/>
        <v>0</v>
      </c>
      <c r="C65" s="111"/>
      <c r="D65" s="199"/>
      <c r="E65" s="200"/>
      <c r="F65" s="200"/>
      <c r="G65" s="200"/>
      <c r="H65" s="200"/>
      <c r="I65" s="200"/>
      <c r="J65" s="200"/>
      <c r="K65" s="200"/>
      <c r="L65" s="200"/>
      <c r="N65" s="162">
        <f t="shared" si="7"/>
        <v>0</v>
      </c>
      <c r="O65" s="162">
        <f t="shared" si="8"/>
        <v>0</v>
      </c>
      <c r="P65" s="162">
        <f t="shared" si="9"/>
        <v>0</v>
      </c>
    </row>
    <row r="66" spans="1:16" x14ac:dyDescent="0.2">
      <c r="A66" s="81">
        <v>60</v>
      </c>
      <c r="B66" s="81">
        <f t="shared" si="2"/>
        <v>0</v>
      </c>
      <c r="C66" s="111"/>
      <c r="D66" s="199"/>
      <c r="E66" s="200"/>
      <c r="F66" s="200"/>
      <c r="G66" s="200"/>
      <c r="H66" s="200"/>
      <c r="I66" s="200"/>
      <c r="J66" s="200"/>
      <c r="K66" s="200"/>
      <c r="L66" s="200"/>
      <c r="N66" s="162">
        <f t="shared" si="7"/>
        <v>0</v>
      </c>
      <c r="O66" s="162">
        <f t="shared" si="8"/>
        <v>0</v>
      </c>
      <c r="P66" s="162">
        <f t="shared" si="9"/>
        <v>0</v>
      </c>
    </row>
    <row r="67" spans="1:16" x14ac:dyDescent="0.2">
      <c r="A67" s="81">
        <v>61</v>
      </c>
      <c r="B67" s="81">
        <f t="shared" si="2"/>
        <v>0</v>
      </c>
      <c r="C67" s="111"/>
      <c r="D67" s="199"/>
      <c r="E67" s="200"/>
      <c r="F67" s="200"/>
      <c r="G67" s="200"/>
      <c r="H67" s="200"/>
      <c r="I67" s="200"/>
      <c r="J67" s="200"/>
      <c r="K67" s="200"/>
      <c r="L67" s="200"/>
      <c r="N67" s="162">
        <f t="shared" si="7"/>
        <v>0</v>
      </c>
      <c r="O67" s="162">
        <f t="shared" si="8"/>
        <v>0</v>
      </c>
      <c r="P67" s="162">
        <f t="shared" si="9"/>
        <v>0</v>
      </c>
    </row>
    <row r="68" spans="1:16" x14ac:dyDescent="0.2">
      <c r="A68" s="81">
        <v>62</v>
      </c>
      <c r="B68" s="81">
        <f t="shared" si="2"/>
        <v>0</v>
      </c>
      <c r="C68" s="111"/>
      <c r="D68" s="199"/>
      <c r="E68" s="200"/>
      <c r="F68" s="200"/>
      <c r="G68" s="200"/>
      <c r="H68" s="200"/>
      <c r="I68" s="200"/>
      <c r="J68" s="200"/>
      <c r="K68" s="200"/>
      <c r="L68" s="200"/>
      <c r="N68" s="162">
        <f t="shared" si="7"/>
        <v>0</v>
      </c>
      <c r="O68" s="162">
        <f t="shared" si="8"/>
        <v>0</v>
      </c>
      <c r="P68" s="162">
        <f t="shared" si="9"/>
        <v>0</v>
      </c>
    </row>
    <row r="69" spans="1:16" x14ac:dyDescent="0.2">
      <c r="A69" s="81">
        <v>63</v>
      </c>
      <c r="B69" s="81">
        <f t="shared" si="2"/>
        <v>0</v>
      </c>
      <c r="C69" s="111"/>
      <c r="D69" s="199"/>
      <c r="E69" s="200"/>
      <c r="F69" s="200"/>
      <c r="G69" s="200"/>
      <c r="H69" s="200"/>
      <c r="I69" s="200"/>
      <c r="J69" s="200"/>
      <c r="K69" s="200"/>
      <c r="L69" s="200"/>
      <c r="N69" s="162">
        <f t="shared" si="7"/>
        <v>0</v>
      </c>
      <c r="O69" s="162">
        <f t="shared" si="8"/>
        <v>0</v>
      </c>
      <c r="P69" s="162">
        <f t="shared" si="9"/>
        <v>0</v>
      </c>
    </row>
    <row r="70" spans="1:16" x14ac:dyDescent="0.2">
      <c r="A70" s="81">
        <v>64</v>
      </c>
      <c r="B70" s="81">
        <f t="shared" si="2"/>
        <v>0</v>
      </c>
      <c r="C70" s="111"/>
      <c r="D70" s="199"/>
      <c r="E70" s="200"/>
      <c r="F70" s="200"/>
      <c r="G70" s="200"/>
      <c r="H70" s="200"/>
      <c r="I70" s="200"/>
      <c r="J70" s="200"/>
      <c r="K70" s="200"/>
      <c r="L70" s="200"/>
      <c r="N70" s="162">
        <f t="shared" si="7"/>
        <v>0</v>
      </c>
      <c r="O70" s="162">
        <f t="shared" si="8"/>
        <v>0</v>
      </c>
      <c r="P70" s="162">
        <f t="shared" si="9"/>
        <v>0</v>
      </c>
    </row>
    <row r="71" spans="1:16" x14ac:dyDescent="0.2">
      <c r="A71" s="81">
        <v>65</v>
      </c>
      <c r="B71" s="81">
        <f t="shared" si="2"/>
        <v>0</v>
      </c>
      <c r="C71" s="111"/>
      <c r="D71" s="199"/>
      <c r="E71" s="200"/>
      <c r="F71" s="200"/>
      <c r="G71" s="200"/>
      <c r="H71" s="200"/>
      <c r="I71" s="200"/>
      <c r="J71" s="200"/>
      <c r="K71" s="200"/>
      <c r="L71" s="200"/>
      <c r="N71" s="162">
        <f t="shared" si="7"/>
        <v>0</v>
      </c>
      <c r="O71" s="162">
        <f t="shared" si="8"/>
        <v>0</v>
      </c>
      <c r="P71" s="162">
        <f t="shared" si="9"/>
        <v>0</v>
      </c>
    </row>
    <row r="72" spans="1:16" x14ac:dyDescent="0.2">
      <c r="A72" s="81">
        <v>66</v>
      </c>
      <c r="B72" s="81">
        <f t="shared" ref="B72:B135" si="10">IF(C72=$Q$7,$R$7,IF(C72=$Q$8,$R$8,IF(C72=$Q$9,$R$9,IF(C72=$Q$10,$R$10,IF(C72=$Q$11,$R$11,IF(C72=$Q$12,$R$12,IF(C72=$Q$13,$R$13,IF(C72=$Q$14,$R$14,IF(C72=$Q$15,$R$15,IF(C72=$Q$16,$R$16,IF(C72=$Q$17,$R$17,IF(C72=$Q$18,$R$18,IF(C72=$Q$19,$R$19,IF(C72=$Q$20,$R$20,IF(C72=$Q$21,$R$21,IF(C72=$Q$22,$R$22,IF(C72=$Q$23,$R$23,IF(C72=$Q$24,$R$24,IF(C72=$Q$25,$R$25,IF(C72=$Q$26,$R$26,IF(C72=$Q$27,$R$27,IF(C72=$Q$28,$R$28,IF(C72=$Q$29,$R$29,IF(C72=$Q$30,$R$30,IF(C72=$Q$31,$R$31,IF(C72=$Q$32,$R$32,IF(C72=$Q$33,$R$33,IF(C72=$Q$34,$R$34,IF(C72=$Q$35,$R$35,IF(C72=$Q$36,$R$36,IF(C72=$Q$37,$R$37,IF(C72=$Q$38,$R$38,IF(C72=$Q$39,$R$39,IF(C72=$Q$40,$R$40,IF(C72=$Q$41,$R$41)))))))))))))))))))))))))))))))))))</f>
        <v>0</v>
      </c>
      <c r="C72" s="111"/>
      <c r="D72" s="199"/>
      <c r="E72" s="200"/>
      <c r="F72" s="200"/>
      <c r="G72" s="200"/>
      <c r="H72" s="200"/>
      <c r="I72" s="200"/>
      <c r="J72" s="200"/>
      <c r="K72" s="200"/>
      <c r="L72" s="200"/>
      <c r="N72" s="162">
        <f t="shared" si="7"/>
        <v>0</v>
      </c>
      <c r="O72" s="162">
        <f t="shared" si="8"/>
        <v>0</v>
      </c>
      <c r="P72" s="162">
        <f t="shared" si="9"/>
        <v>0</v>
      </c>
    </row>
    <row r="73" spans="1:16" x14ac:dyDescent="0.2">
      <c r="A73" s="81">
        <v>67</v>
      </c>
      <c r="B73" s="81">
        <f t="shared" si="10"/>
        <v>0</v>
      </c>
      <c r="C73" s="111"/>
      <c r="D73" s="199"/>
      <c r="E73" s="200"/>
      <c r="F73" s="200"/>
      <c r="G73" s="200"/>
      <c r="H73" s="200"/>
      <c r="I73" s="200"/>
      <c r="J73" s="200"/>
      <c r="K73" s="200"/>
      <c r="L73" s="200"/>
      <c r="N73" s="162">
        <f t="shared" si="7"/>
        <v>0</v>
      </c>
      <c r="O73" s="162">
        <f t="shared" si="8"/>
        <v>0</v>
      </c>
      <c r="P73" s="162">
        <f t="shared" si="9"/>
        <v>0</v>
      </c>
    </row>
    <row r="74" spans="1:16" x14ac:dyDescent="0.2">
      <c r="A74" s="81">
        <v>68</v>
      </c>
      <c r="B74" s="81">
        <f t="shared" si="10"/>
        <v>0</v>
      </c>
      <c r="C74" s="111"/>
      <c r="D74" s="199"/>
      <c r="E74" s="200"/>
      <c r="F74" s="200"/>
      <c r="G74" s="200"/>
      <c r="H74" s="200"/>
      <c r="I74" s="200"/>
      <c r="J74" s="200"/>
      <c r="K74" s="200"/>
      <c r="L74" s="200"/>
      <c r="N74" s="162">
        <f t="shared" si="7"/>
        <v>0</v>
      </c>
      <c r="O74" s="162">
        <f t="shared" si="8"/>
        <v>0</v>
      </c>
      <c r="P74" s="162">
        <f t="shared" si="9"/>
        <v>0</v>
      </c>
    </row>
    <row r="75" spans="1:16" x14ac:dyDescent="0.2">
      <c r="A75" s="81">
        <v>69</v>
      </c>
      <c r="B75" s="81">
        <f t="shared" si="10"/>
        <v>0</v>
      </c>
      <c r="C75" s="111"/>
      <c r="D75" s="199"/>
      <c r="E75" s="200"/>
      <c r="F75" s="200"/>
      <c r="G75" s="200"/>
      <c r="H75" s="200"/>
      <c r="I75" s="200"/>
      <c r="J75" s="200"/>
      <c r="K75" s="200"/>
      <c r="L75" s="200"/>
      <c r="N75" s="162">
        <f t="shared" si="7"/>
        <v>0</v>
      </c>
      <c r="O75" s="162">
        <f t="shared" si="8"/>
        <v>0</v>
      </c>
      <c r="P75" s="162">
        <f t="shared" si="9"/>
        <v>0</v>
      </c>
    </row>
    <row r="76" spans="1:16" x14ac:dyDescent="0.2">
      <c r="A76" s="81">
        <v>70</v>
      </c>
      <c r="B76" s="81">
        <f t="shared" si="10"/>
        <v>0</v>
      </c>
      <c r="C76" s="111"/>
      <c r="D76" s="199"/>
      <c r="E76" s="200"/>
      <c r="F76" s="200"/>
      <c r="G76" s="200"/>
      <c r="H76" s="200"/>
      <c r="I76" s="200"/>
      <c r="J76" s="200"/>
      <c r="K76" s="200"/>
      <c r="L76" s="200"/>
      <c r="N76" s="162">
        <f t="shared" si="7"/>
        <v>0</v>
      </c>
      <c r="O76" s="162">
        <f t="shared" si="8"/>
        <v>0</v>
      </c>
      <c r="P76" s="162">
        <f t="shared" si="9"/>
        <v>0</v>
      </c>
    </row>
    <row r="77" spans="1:16" x14ac:dyDescent="0.2">
      <c r="A77" s="81">
        <v>71</v>
      </c>
      <c r="B77" s="81">
        <f t="shared" si="10"/>
        <v>0</v>
      </c>
      <c r="C77" s="111"/>
      <c r="D77" s="199"/>
      <c r="E77" s="200"/>
      <c r="F77" s="200"/>
      <c r="G77" s="200"/>
      <c r="H77" s="200"/>
      <c r="I77" s="200"/>
      <c r="J77" s="200"/>
      <c r="K77" s="200"/>
      <c r="L77" s="200"/>
      <c r="N77" s="162">
        <f t="shared" si="7"/>
        <v>0</v>
      </c>
      <c r="O77" s="162">
        <f t="shared" si="8"/>
        <v>0</v>
      </c>
      <c r="P77" s="162">
        <f t="shared" si="9"/>
        <v>0</v>
      </c>
    </row>
    <row r="78" spans="1:16" x14ac:dyDescent="0.2">
      <c r="A78" s="81">
        <v>72</v>
      </c>
      <c r="B78" s="81">
        <f t="shared" si="10"/>
        <v>0</v>
      </c>
      <c r="C78" s="111"/>
      <c r="D78" s="199"/>
      <c r="E78" s="200"/>
      <c r="F78" s="200"/>
      <c r="G78" s="200"/>
      <c r="H78" s="200"/>
      <c r="I78" s="200"/>
      <c r="J78" s="200"/>
      <c r="K78" s="200"/>
      <c r="L78" s="200"/>
      <c r="N78" s="162">
        <f t="shared" si="7"/>
        <v>0</v>
      </c>
      <c r="O78" s="162">
        <f t="shared" si="8"/>
        <v>0</v>
      </c>
      <c r="P78" s="162">
        <f t="shared" si="9"/>
        <v>0</v>
      </c>
    </row>
    <row r="79" spans="1:16" x14ac:dyDescent="0.2">
      <c r="A79" s="81">
        <v>73</v>
      </c>
      <c r="B79" s="81">
        <f t="shared" si="10"/>
        <v>0</v>
      </c>
      <c r="C79" s="111"/>
      <c r="D79" s="199"/>
      <c r="E79" s="200"/>
      <c r="F79" s="200"/>
      <c r="G79" s="200"/>
      <c r="H79" s="200"/>
      <c r="I79" s="200"/>
      <c r="J79" s="200"/>
      <c r="K79" s="200"/>
      <c r="L79" s="200"/>
      <c r="N79" s="162">
        <f t="shared" si="7"/>
        <v>0</v>
      </c>
      <c r="O79" s="162">
        <f t="shared" si="8"/>
        <v>0</v>
      </c>
      <c r="P79" s="162">
        <f t="shared" si="9"/>
        <v>0</v>
      </c>
    </row>
    <row r="80" spans="1:16" x14ac:dyDescent="0.2">
      <c r="A80" s="81">
        <v>74</v>
      </c>
      <c r="B80" s="81">
        <f t="shared" si="10"/>
        <v>0</v>
      </c>
      <c r="C80" s="111"/>
      <c r="D80" s="199"/>
      <c r="E80" s="200"/>
      <c r="F80" s="200"/>
      <c r="G80" s="200"/>
      <c r="H80" s="200"/>
      <c r="I80" s="200"/>
      <c r="J80" s="200"/>
      <c r="K80" s="200"/>
      <c r="L80" s="200"/>
      <c r="N80" s="162">
        <f t="shared" si="7"/>
        <v>0</v>
      </c>
      <c r="O80" s="162">
        <f t="shared" si="8"/>
        <v>0</v>
      </c>
      <c r="P80" s="162">
        <f t="shared" si="9"/>
        <v>0</v>
      </c>
    </row>
    <row r="81" spans="1:16" x14ac:dyDescent="0.2">
      <c r="A81" s="81">
        <v>75</v>
      </c>
      <c r="B81" s="81">
        <f t="shared" si="10"/>
        <v>0</v>
      </c>
      <c r="C81" s="111"/>
      <c r="D81" s="199"/>
      <c r="E81" s="200"/>
      <c r="F81" s="200"/>
      <c r="G81" s="200"/>
      <c r="H81" s="200"/>
      <c r="I81" s="200"/>
      <c r="J81" s="200"/>
      <c r="K81" s="200"/>
      <c r="L81" s="200"/>
      <c r="N81" s="162">
        <f t="shared" si="7"/>
        <v>0</v>
      </c>
      <c r="O81" s="162">
        <f t="shared" si="8"/>
        <v>0</v>
      </c>
      <c r="P81" s="162">
        <f t="shared" si="9"/>
        <v>0</v>
      </c>
    </row>
    <row r="82" spans="1:16" x14ac:dyDescent="0.2">
      <c r="A82" s="81">
        <v>76</v>
      </c>
      <c r="B82" s="81">
        <f t="shared" si="10"/>
        <v>0</v>
      </c>
      <c r="C82" s="111"/>
      <c r="D82" s="199"/>
      <c r="E82" s="200"/>
      <c r="F82" s="200"/>
      <c r="G82" s="200"/>
      <c r="H82" s="200"/>
      <c r="I82" s="200"/>
      <c r="J82" s="200"/>
      <c r="K82" s="200"/>
      <c r="L82" s="200"/>
      <c r="N82" s="162">
        <f t="shared" si="7"/>
        <v>0</v>
      </c>
      <c r="O82" s="162">
        <f t="shared" si="8"/>
        <v>0</v>
      </c>
      <c r="P82" s="162">
        <f t="shared" si="9"/>
        <v>0</v>
      </c>
    </row>
    <row r="83" spans="1:16" x14ac:dyDescent="0.2">
      <c r="A83" s="81">
        <v>77</v>
      </c>
      <c r="B83" s="81">
        <f t="shared" si="10"/>
        <v>0</v>
      </c>
      <c r="C83" s="111"/>
      <c r="D83" s="199"/>
      <c r="E83" s="200"/>
      <c r="F83" s="200"/>
      <c r="G83" s="200"/>
      <c r="H83" s="200"/>
      <c r="I83" s="200"/>
      <c r="J83" s="200"/>
      <c r="K83" s="200"/>
      <c r="L83" s="200"/>
      <c r="N83" s="162">
        <f t="shared" si="7"/>
        <v>0</v>
      </c>
      <c r="O83" s="162">
        <f t="shared" si="8"/>
        <v>0</v>
      </c>
      <c r="P83" s="162">
        <f t="shared" si="9"/>
        <v>0</v>
      </c>
    </row>
    <row r="84" spans="1:16" x14ac:dyDescent="0.2">
      <c r="A84" s="81">
        <v>78</v>
      </c>
      <c r="B84" s="81">
        <f t="shared" si="10"/>
        <v>0</v>
      </c>
      <c r="C84" s="111"/>
      <c r="D84" s="199"/>
      <c r="E84" s="200"/>
      <c r="F84" s="200"/>
      <c r="G84" s="200"/>
      <c r="H84" s="200"/>
      <c r="I84" s="200"/>
      <c r="J84" s="200"/>
      <c r="K84" s="200"/>
      <c r="L84" s="200"/>
      <c r="N84" s="162">
        <f t="shared" si="7"/>
        <v>0</v>
      </c>
      <c r="O84" s="162">
        <f t="shared" si="8"/>
        <v>0</v>
      </c>
      <c r="P84" s="162">
        <f t="shared" si="9"/>
        <v>0</v>
      </c>
    </row>
    <row r="85" spans="1:16" x14ac:dyDescent="0.2">
      <c r="A85" s="81">
        <v>79</v>
      </c>
      <c r="B85" s="81">
        <f t="shared" si="10"/>
        <v>0</v>
      </c>
      <c r="C85" s="111"/>
      <c r="D85" s="199"/>
      <c r="E85" s="200"/>
      <c r="F85" s="200"/>
      <c r="G85" s="200"/>
      <c r="H85" s="200"/>
      <c r="I85" s="200"/>
      <c r="J85" s="200"/>
      <c r="K85" s="200"/>
      <c r="L85" s="200"/>
      <c r="N85" s="162">
        <f t="shared" si="7"/>
        <v>0</v>
      </c>
      <c r="O85" s="162">
        <f t="shared" si="8"/>
        <v>0</v>
      </c>
      <c r="P85" s="162">
        <f t="shared" si="9"/>
        <v>0</v>
      </c>
    </row>
    <row r="86" spans="1:16" x14ac:dyDescent="0.2">
      <c r="A86" s="81">
        <v>80</v>
      </c>
      <c r="B86" s="81">
        <f t="shared" si="10"/>
        <v>0</v>
      </c>
      <c r="C86" s="111"/>
      <c r="D86" s="199"/>
      <c r="E86" s="200"/>
      <c r="F86" s="200"/>
      <c r="G86" s="200"/>
      <c r="H86" s="200"/>
      <c r="I86" s="200"/>
      <c r="J86" s="200"/>
      <c r="K86" s="200"/>
      <c r="L86" s="200"/>
      <c r="N86" s="162">
        <f t="shared" si="7"/>
        <v>0</v>
      </c>
      <c r="O86" s="162">
        <f t="shared" si="8"/>
        <v>0</v>
      </c>
      <c r="P86" s="162">
        <f t="shared" si="9"/>
        <v>0</v>
      </c>
    </row>
    <row r="87" spans="1:16" x14ac:dyDescent="0.2">
      <c r="A87" s="81">
        <v>81</v>
      </c>
      <c r="B87" s="81">
        <f t="shared" si="10"/>
        <v>0</v>
      </c>
      <c r="C87" s="111"/>
      <c r="D87" s="199"/>
      <c r="E87" s="200"/>
      <c r="F87" s="200"/>
      <c r="G87" s="200"/>
      <c r="H87" s="200"/>
      <c r="I87" s="200"/>
      <c r="J87" s="200"/>
      <c r="K87" s="200"/>
      <c r="L87" s="200"/>
      <c r="N87" s="162">
        <f t="shared" si="7"/>
        <v>0</v>
      </c>
      <c r="O87" s="162">
        <f t="shared" si="8"/>
        <v>0</v>
      </c>
      <c r="P87" s="162">
        <f t="shared" si="9"/>
        <v>0</v>
      </c>
    </row>
    <row r="88" spans="1:16" x14ac:dyDescent="0.2">
      <c r="A88" s="81">
        <v>82</v>
      </c>
      <c r="B88" s="81">
        <f t="shared" si="10"/>
        <v>0</v>
      </c>
      <c r="C88" s="111"/>
      <c r="D88" s="199"/>
      <c r="E88" s="200"/>
      <c r="F88" s="200"/>
      <c r="G88" s="200"/>
      <c r="H88" s="200"/>
      <c r="I88" s="200"/>
      <c r="J88" s="200"/>
      <c r="K88" s="200"/>
      <c r="L88" s="200"/>
      <c r="N88" s="162">
        <f t="shared" si="7"/>
        <v>0</v>
      </c>
      <c r="O88" s="162">
        <f t="shared" si="8"/>
        <v>0</v>
      </c>
      <c r="P88" s="162">
        <f t="shared" si="9"/>
        <v>0</v>
      </c>
    </row>
    <row r="89" spans="1:16" x14ac:dyDescent="0.2">
      <c r="A89" s="81">
        <v>83</v>
      </c>
      <c r="B89" s="81">
        <f t="shared" si="10"/>
        <v>0</v>
      </c>
      <c r="C89" s="111"/>
      <c r="D89" s="199"/>
      <c r="E89" s="200"/>
      <c r="F89" s="200"/>
      <c r="G89" s="200"/>
      <c r="H89" s="200"/>
      <c r="I89" s="200"/>
      <c r="J89" s="200"/>
      <c r="K89" s="200"/>
      <c r="L89" s="200"/>
      <c r="N89" s="162">
        <f t="shared" si="7"/>
        <v>0</v>
      </c>
      <c r="O89" s="162">
        <f t="shared" si="8"/>
        <v>0</v>
      </c>
      <c r="P89" s="162">
        <f t="shared" si="9"/>
        <v>0</v>
      </c>
    </row>
    <row r="90" spans="1:16" x14ac:dyDescent="0.2">
      <c r="A90" s="81">
        <v>84</v>
      </c>
      <c r="B90" s="81">
        <f t="shared" si="10"/>
        <v>0</v>
      </c>
      <c r="C90" s="111"/>
      <c r="D90" s="199"/>
      <c r="E90" s="200"/>
      <c r="F90" s="200"/>
      <c r="G90" s="200"/>
      <c r="H90" s="200"/>
      <c r="I90" s="200"/>
      <c r="J90" s="200"/>
      <c r="K90" s="200"/>
      <c r="L90" s="200"/>
      <c r="N90" s="162">
        <f t="shared" si="7"/>
        <v>0</v>
      </c>
      <c r="O90" s="162">
        <f t="shared" si="8"/>
        <v>0</v>
      </c>
      <c r="P90" s="162">
        <f t="shared" si="9"/>
        <v>0</v>
      </c>
    </row>
    <row r="91" spans="1:16" x14ac:dyDescent="0.2">
      <c r="A91" s="81">
        <v>85</v>
      </c>
      <c r="B91" s="81">
        <f t="shared" si="10"/>
        <v>0</v>
      </c>
      <c r="C91" s="111"/>
      <c r="D91" s="199"/>
      <c r="E91" s="200"/>
      <c r="F91" s="200"/>
      <c r="G91" s="200"/>
      <c r="H91" s="200"/>
      <c r="I91" s="200"/>
      <c r="J91" s="200"/>
      <c r="K91" s="200"/>
      <c r="L91" s="200"/>
      <c r="N91" s="162">
        <f t="shared" si="7"/>
        <v>0</v>
      </c>
      <c r="O91" s="162">
        <f t="shared" si="8"/>
        <v>0</v>
      </c>
      <c r="P91" s="162">
        <f t="shared" si="9"/>
        <v>0</v>
      </c>
    </row>
    <row r="92" spans="1:16" x14ac:dyDescent="0.2">
      <c r="A92" s="81">
        <v>86</v>
      </c>
      <c r="B92" s="81">
        <f t="shared" si="10"/>
        <v>0</v>
      </c>
      <c r="C92" s="111"/>
      <c r="D92" s="199"/>
      <c r="E92" s="200"/>
      <c r="F92" s="200"/>
      <c r="G92" s="200"/>
      <c r="H92" s="200"/>
      <c r="I92" s="200"/>
      <c r="J92" s="200"/>
      <c r="K92" s="200"/>
      <c r="L92" s="200"/>
      <c r="N92" s="162">
        <f t="shared" si="7"/>
        <v>0</v>
      </c>
      <c r="O92" s="162">
        <f t="shared" si="8"/>
        <v>0</v>
      </c>
      <c r="P92" s="162">
        <f t="shared" si="9"/>
        <v>0</v>
      </c>
    </row>
    <row r="93" spans="1:16" x14ac:dyDescent="0.2">
      <c r="A93" s="81">
        <v>87</v>
      </c>
      <c r="B93" s="81">
        <f t="shared" si="10"/>
        <v>0</v>
      </c>
      <c r="C93" s="111"/>
      <c r="D93" s="199"/>
      <c r="E93" s="200"/>
      <c r="F93" s="200"/>
      <c r="G93" s="200"/>
      <c r="H93" s="200"/>
      <c r="I93" s="200"/>
      <c r="J93" s="200"/>
      <c r="K93" s="200"/>
      <c r="L93" s="200"/>
      <c r="N93" s="162">
        <f t="shared" si="7"/>
        <v>0</v>
      </c>
      <c r="O93" s="162">
        <f t="shared" si="8"/>
        <v>0</v>
      </c>
      <c r="P93" s="162">
        <f t="shared" si="9"/>
        <v>0</v>
      </c>
    </row>
    <row r="94" spans="1:16" x14ac:dyDescent="0.2">
      <c r="A94" s="81">
        <v>88</v>
      </c>
      <c r="B94" s="81">
        <f t="shared" si="10"/>
        <v>0</v>
      </c>
      <c r="C94" s="111"/>
      <c r="D94" s="199"/>
      <c r="E94" s="200"/>
      <c r="F94" s="200"/>
      <c r="G94" s="200"/>
      <c r="H94" s="200"/>
      <c r="I94" s="200"/>
      <c r="J94" s="200"/>
      <c r="K94" s="200"/>
      <c r="L94" s="200"/>
      <c r="N94" s="162">
        <f t="shared" si="7"/>
        <v>0</v>
      </c>
      <c r="O94" s="162">
        <f t="shared" si="8"/>
        <v>0</v>
      </c>
      <c r="P94" s="162">
        <f t="shared" si="9"/>
        <v>0</v>
      </c>
    </row>
    <row r="95" spans="1:16" x14ac:dyDescent="0.2">
      <c r="A95" s="81">
        <v>89</v>
      </c>
      <c r="B95" s="81">
        <f t="shared" si="10"/>
        <v>0</v>
      </c>
      <c r="C95" s="111"/>
      <c r="D95" s="199"/>
      <c r="E95" s="200"/>
      <c r="F95" s="200"/>
      <c r="G95" s="200"/>
      <c r="H95" s="200"/>
      <c r="I95" s="200"/>
      <c r="J95" s="200"/>
      <c r="K95" s="200"/>
      <c r="L95" s="200"/>
      <c r="N95" s="162">
        <f t="shared" si="7"/>
        <v>0</v>
      </c>
      <c r="O95" s="162">
        <f t="shared" si="8"/>
        <v>0</v>
      </c>
      <c r="P95" s="162">
        <f t="shared" si="9"/>
        <v>0</v>
      </c>
    </row>
    <row r="96" spans="1:16" x14ac:dyDescent="0.2">
      <c r="A96" s="81">
        <v>90</v>
      </c>
      <c r="B96" s="81">
        <f t="shared" si="10"/>
        <v>0</v>
      </c>
      <c r="C96" s="111"/>
      <c r="D96" s="199"/>
      <c r="E96" s="200"/>
      <c r="F96" s="200"/>
      <c r="G96" s="200"/>
      <c r="H96" s="200"/>
      <c r="I96" s="200"/>
      <c r="J96" s="200"/>
      <c r="K96" s="200"/>
      <c r="L96" s="200"/>
      <c r="N96" s="162">
        <f t="shared" si="7"/>
        <v>0</v>
      </c>
      <c r="O96" s="162">
        <f t="shared" si="8"/>
        <v>0</v>
      </c>
      <c r="P96" s="162">
        <f t="shared" si="9"/>
        <v>0</v>
      </c>
    </row>
    <row r="97" spans="1:16" x14ac:dyDescent="0.2">
      <c r="A97" s="81">
        <v>91</v>
      </c>
      <c r="B97" s="81">
        <f t="shared" si="10"/>
        <v>0</v>
      </c>
      <c r="C97" s="111"/>
      <c r="D97" s="199"/>
      <c r="E97" s="200"/>
      <c r="F97" s="200"/>
      <c r="G97" s="200"/>
      <c r="H97" s="200"/>
      <c r="I97" s="200"/>
      <c r="J97" s="200"/>
      <c r="K97" s="200"/>
      <c r="L97" s="200"/>
      <c r="N97" s="162">
        <f t="shared" si="7"/>
        <v>0</v>
      </c>
      <c r="O97" s="162">
        <f t="shared" si="8"/>
        <v>0</v>
      </c>
      <c r="P97" s="162">
        <f t="shared" si="9"/>
        <v>0</v>
      </c>
    </row>
    <row r="98" spans="1:16" x14ac:dyDescent="0.2">
      <c r="A98" s="81">
        <v>92</v>
      </c>
      <c r="B98" s="81">
        <f t="shared" si="10"/>
        <v>0</v>
      </c>
      <c r="C98" s="111"/>
      <c r="D98" s="199"/>
      <c r="E98" s="200"/>
      <c r="F98" s="200"/>
      <c r="G98" s="200"/>
      <c r="H98" s="200"/>
      <c r="I98" s="200"/>
      <c r="J98" s="200"/>
      <c r="K98" s="200"/>
      <c r="L98" s="200"/>
      <c r="N98" s="162">
        <f t="shared" si="7"/>
        <v>0</v>
      </c>
      <c r="O98" s="162">
        <f t="shared" si="8"/>
        <v>0</v>
      </c>
      <c r="P98" s="162">
        <f t="shared" si="9"/>
        <v>0</v>
      </c>
    </row>
    <row r="99" spans="1:16" x14ac:dyDescent="0.2">
      <c r="A99" s="81">
        <v>93</v>
      </c>
      <c r="B99" s="81">
        <f t="shared" si="10"/>
        <v>0</v>
      </c>
      <c r="C99" s="111"/>
      <c r="D99" s="199"/>
      <c r="E99" s="200"/>
      <c r="F99" s="200"/>
      <c r="G99" s="200"/>
      <c r="H99" s="200"/>
      <c r="I99" s="200"/>
      <c r="J99" s="200"/>
      <c r="K99" s="200"/>
      <c r="L99" s="200"/>
      <c r="N99" s="162">
        <f t="shared" si="7"/>
        <v>0</v>
      </c>
      <c r="O99" s="162">
        <f t="shared" si="8"/>
        <v>0</v>
      </c>
      <c r="P99" s="162">
        <f t="shared" si="9"/>
        <v>0</v>
      </c>
    </row>
    <row r="100" spans="1:16" x14ac:dyDescent="0.2">
      <c r="A100" s="81">
        <v>94</v>
      </c>
      <c r="B100" s="81">
        <f t="shared" si="10"/>
        <v>0</v>
      </c>
      <c r="C100" s="111"/>
      <c r="D100" s="199"/>
      <c r="E100" s="200"/>
      <c r="F100" s="200"/>
      <c r="G100" s="200"/>
      <c r="H100" s="200"/>
      <c r="I100" s="200"/>
      <c r="J100" s="200"/>
      <c r="K100" s="200"/>
      <c r="L100" s="200"/>
      <c r="N100" s="162">
        <f t="shared" si="7"/>
        <v>0</v>
      </c>
      <c r="O100" s="162">
        <f t="shared" si="8"/>
        <v>0</v>
      </c>
      <c r="P100" s="162">
        <f t="shared" si="9"/>
        <v>0</v>
      </c>
    </row>
    <row r="101" spans="1:16" x14ac:dyDescent="0.2">
      <c r="A101" s="81">
        <v>95</v>
      </c>
      <c r="B101" s="81">
        <f t="shared" si="10"/>
        <v>0</v>
      </c>
      <c r="C101" s="111"/>
      <c r="D101" s="199"/>
      <c r="E101" s="200"/>
      <c r="F101" s="200"/>
      <c r="G101" s="200"/>
      <c r="H101" s="200"/>
      <c r="I101" s="200"/>
      <c r="J101" s="200"/>
      <c r="K101" s="200"/>
      <c r="L101" s="200"/>
      <c r="N101" s="162">
        <f t="shared" si="7"/>
        <v>0</v>
      </c>
      <c r="O101" s="162">
        <f t="shared" si="8"/>
        <v>0</v>
      </c>
      <c r="P101" s="162">
        <f t="shared" si="9"/>
        <v>0</v>
      </c>
    </row>
    <row r="102" spans="1:16" x14ac:dyDescent="0.2">
      <c r="A102" s="81">
        <v>96</v>
      </c>
      <c r="B102" s="81">
        <f t="shared" si="10"/>
        <v>0</v>
      </c>
      <c r="C102" s="111"/>
      <c r="D102" s="199"/>
      <c r="E102" s="200"/>
      <c r="F102" s="200"/>
      <c r="G102" s="200"/>
      <c r="H102" s="200"/>
      <c r="I102" s="200"/>
      <c r="J102" s="200"/>
      <c r="K102" s="200"/>
      <c r="L102" s="200"/>
      <c r="N102" s="162">
        <f t="shared" si="7"/>
        <v>0</v>
      </c>
      <c r="O102" s="162">
        <f t="shared" si="8"/>
        <v>0</v>
      </c>
      <c r="P102" s="162">
        <f t="shared" si="9"/>
        <v>0</v>
      </c>
    </row>
    <row r="103" spans="1:16" x14ac:dyDescent="0.2">
      <c r="A103" s="81">
        <v>97</v>
      </c>
      <c r="B103" s="81">
        <f t="shared" si="10"/>
        <v>0</v>
      </c>
      <c r="C103" s="111"/>
      <c r="D103" s="199"/>
      <c r="E103" s="200"/>
      <c r="F103" s="200"/>
      <c r="G103" s="200"/>
      <c r="H103" s="200"/>
      <c r="I103" s="200"/>
      <c r="J103" s="200"/>
      <c r="K103" s="200"/>
      <c r="L103" s="200"/>
      <c r="N103" s="162">
        <f t="shared" si="7"/>
        <v>0</v>
      </c>
      <c r="O103" s="162">
        <f t="shared" si="8"/>
        <v>0</v>
      </c>
      <c r="P103" s="162">
        <f t="shared" si="9"/>
        <v>0</v>
      </c>
    </row>
    <row r="104" spans="1:16" x14ac:dyDescent="0.2">
      <c r="A104" s="81">
        <v>98</v>
      </c>
      <c r="B104" s="81">
        <f t="shared" si="10"/>
        <v>0</v>
      </c>
      <c r="C104" s="111"/>
      <c r="D104" s="199"/>
      <c r="E104" s="200"/>
      <c r="F104" s="200"/>
      <c r="G104" s="200"/>
      <c r="H104" s="200"/>
      <c r="I104" s="200"/>
      <c r="J104" s="200"/>
      <c r="K104" s="200"/>
      <c r="L104" s="200"/>
      <c r="N104" s="162">
        <f t="shared" si="7"/>
        <v>0</v>
      </c>
      <c r="O104" s="162">
        <f t="shared" si="8"/>
        <v>0</v>
      </c>
      <c r="P104" s="162">
        <f t="shared" si="9"/>
        <v>0</v>
      </c>
    </row>
    <row r="105" spans="1:16" x14ac:dyDescent="0.2">
      <c r="A105" s="81">
        <v>99</v>
      </c>
      <c r="B105" s="81">
        <f t="shared" si="10"/>
        <v>0</v>
      </c>
      <c r="C105" s="111"/>
      <c r="D105" s="199"/>
      <c r="E105" s="200"/>
      <c r="F105" s="200"/>
      <c r="G105" s="200"/>
      <c r="H105" s="200"/>
      <c r="I105" s="200"/>
      <c r="J105" s="200"/>
      <c r="K105" s="200"/>
      <c r="L105" s="200"/>
      <c r="N105" s="162">
        <f t="shared" si="7"/>
        <v>0</v>
      </c>
      <c r="O105" s="162">
        <f t="shared" si="8"/>
        <v>0</v>
      </c>
      <c r="P105" s="162">
        <f t="shared" si="9"/>
        <v>0</v>
      </c>
    </row>
    <row r="106" spans="1:16" x14ac:dyDescent="0.2">
      <c r="A106" s="81">
        <v>100</v>
      </c>
      <c r="B106" s="81">
        <f t="shared" si="10"/>
        <v>0</v>
      </c>
      <c r="C106" s="111"/>
      <c r="D106" s="199"/>
      <c r="E106" s="200"/>
      <c r="F106" s="200"/>
      <c r="G106" s="200"/>
      <c r="H106" s="200"/>
      <c r="I106" s="200"/>
      <c r="J106" s="200"/>
      <c r="K106" s="200"/>
      <c r="L106" s="200"/>
      <c r="N106" s="162">
        <f t="shared" si="7"/>
        <v>0</v>
      </c>
      <c r="O106" s="162">
        <f t="shared" si="8"/>
        <v>0</v>
      </c>
      <c r="P106" s="162">
        <f t="shared" si="9"/>
        <v>0</v>
      </c>
    </row>
    <row r="107" spans="1:16" x14ac:dyDescent="0.2">
      <c r="A107" s="81">
        <v>101</v>
      </c>
      <c r="B107" s="81">
        <f t="shared" si="10"/>
        <v>0</v>
      </c>
      <c r="C107" s="111"/>
      <c r="D107" s="199"/>
      <c r="E107" s="200"/>
      <c r="F107" s="200"/>
      <c r="G107" s="200"/>
      <c r="H107" s="200"/>
      <c r="I107" s="200"/>
      <c r="J107" s="200"/>
      <c r="K107" s="200"/>
      <c r="L107" s="200"/>
      <c r="N107" s="162">
        <f t="shared" si="7"/>
        <v>0</v>
      </c>
      <c r="O107" s="162">
        <f t="shared" si="8"/>
        <v>0</v>
      </c>
      <c r="P107" s="162">
        <f t="shared" si="9"/>
        <v>0</v>
      </c>
    </row>
    <row r="108" spans="1:16" x14ac:dyDescent="0.2">
      <c r="A108" s="81">
        <v>102</v>
      </c>
      <c r="B108" s="81">
        <f t="shared" si="10"/>
        <v>0</v>
      </c>
      <c r="C108" s="111"/>
      <c r="D108" s="199"/>
      <c r="E108" s="200"/>
      <c r="F108" s="200"/>
      <c r="G108" s="200"/>
      <c r="H108" s="200"/>
      <c r="I108" s="200"/>
      <c r="J108" s="200"/>
      <c r="K108" s="200"/>
      <c r="L108" s="200"/>
      <c r="N108" s="162">
        <f t="shared" si="7"/>
        <v>0</v>
      </c>
      <c r="O108" s="162">
        <f t="shared" si="8"/>
        <v>0</v>
      </c>
      <c r="P108" s="162">
        <f t="shared" si="9"/>
        <v>0</v>
      </c>
    </row>
    <row r="109" spans="1:16" x14ac:dyDescent="0.2">
      <c r="A109" s="81">
        <v>103</v>
      </c>
      <c r="B109" s="81">
        <f t="shared" si="10"/>
        <v>0</v>
      </c>
      <c r="C109" s="111"/>
      <c r="D109" s="199"/>
      <c r="E109" s="200"/>
      <c r="F109" s="200"/>
      <c r="G109" s="200"/>
      <c r="H109" s="200"/>
      <c r="I109" s="200"/>
      <c r="J109" s="200"/>
      <c r="K109" s="200"/>
      <c r="L109" s="200"/>
      <c r="N109" s="162">
        <f t="shared" si="7"/>
        <v>0</v>
      </c>
      <c r="O109" s="162">
        <f t="shared" si="8"/>
        <v>0</v>
      </c>
      <c r="P109" s="162">
        <f t="shared" si="9"/>
        <v>0</v>
      </c>
    </row>
    <row r="110" spans="1:16" x14ac:dyDescent="0.2">
      <c r="A110" s="81">
        <v>104</v>
      </c>
      <c r="B110" s="81">
        <f t="shared" si="10"/>
        <v>0</v>
      </c>
      <c r="C110" s="111"/>
      <c r="D110" s="199"/>
      <c r="E110" s="200"/>
      <c r="F110" s="200"/>
      <c r="G110" s="200"/>
      <c r="H110" s="200"/>
      <c r="I110" s="200"/>
      <c r="J110" s="200"/>
      <c r="K110" s="200"/>
      <c r="L110" s="200"/>
      <c r="N110" s="162">
        <f t="shared" si="7"/>
        <v>0</v>
      </c>
      <c r="O110" s="162">
        <f t="shared" si="8"/>
        <v>0</v>
      </c>
      <c r="P110" s="162">
        <f t="shared" si="9"/>
        <v>0</v>
      </c>
    </row>
    <row r="111" spans="1:16" x14ac:dyDescent="0.2">
      <c r="A111" s="81">
        <v>105</v>
      </c>
      <c r="B111" s="81">
        <f t="shared" si="10"/>
        <v>0</v>
      </c>
      <c r="C111" s="111"/>
      <c r="D111" s="199"/>
      <c r="E111" s="200"/>
      <c r="F111" s="200"/>
      <c r="G111" s="200"/>
      <c r="H111" s="200"/>
      <c r="I111" s="200"/>
      <c r="J111" s="200"/>
      <c r="K111" s="200"/>
      <c r="L111" s="200"/>
      <c r="N111" s="162">
        <f t="shared" si="7"/>
        <v>0</v>
      </c>
      <c r="O111" s="162">
        <f t="shared" si="8"/>
        <v>0</v>
      </c>
      <c r="P111" s="162">
        <f t="shared" si="9"/>
        <v>0</v>
      </c>
    </row>
    <row r="112" spans="1:16" x14ac:dyDescent="0.2">
      <c r="A112" s="81">
        <v>106</v>
      </c>
      <c r="B112" s="81">
        <f t="shared" si="10"/>
        <v>0</v>
      </c>
      <c r="C112" s="111"/>
      <c r="D112" s="199"/>
      <c r="E112" s="200"/>
      <c r="F112" s="200"/>
      <c r="G112" s="200"/>
      <c r="H112" s="200"/>
      <c r="I112" s="200"/>
      <c r="J112" s="200"/>
      <c r="K112" s="200"/>
      <c r="L112" s="200"/>
      <c r="N112" s="162">
        <f t="shared" si="7"/>
        <v>0</v>
      </c>
      <c r="O112" s="162">
        <f t="shared" si="8"/>
        <v>0</v>
      </c>
      <c r="P112" s="162">
        <f t="shared" si="9"/>
        <v>0</v>
      </c>
    </row>
    <row r="113" spans="1:16" x14ac:dyDescent="0.2">
      <c r="A113" s="81">
        <v>107</v>
      </c>
      <c r="B113" s="81">
        <f t="shared" si="10"/>
        <v>0</v>
      </c>
      <c r="C113" s="111"/>
      <c r="D113" s="199"/>
      <c r="E113" s="200"/>
      <c r="F113" s="200"/>
      <c r="G113" s="200"/>
      <c r="H113" s="200"/>
      <c r="I113" s="200"/>
      <c r="J113" s="200"/>
      <c r="K113" s="200"/>
      <c r="L113" s="200"/>
      <c r="N113" s="162">
        <f t="shared" si="7"/>
        <v>0</v>
      </c>
      <c r="O113" s="162">
        <f t="shared" si="8"/>
        <v>0</v>
      </c>
      <c r="P113" s="162">
        <f t="shared" si="9"/>
        <v>0</v>
      </c>
    </row>
    <row r="114" spans="1:16" x14ac:dyDescent="0.2">
      <c r="A114" s="81">
        <v>108</v>
      </c>
      <c r="B114" s="81">
        <f t="shared" si="10"/>
        <v>0</v>
      </c>
      <c r="C114" s="111"/>
      <c r="D114" s="199"/>
      <c r="E114" s="200"/>
      <c r="F114" s="200"/>
      <c r="G114" s="200"/>
      <c r="H114" s="200"/>
      <c r="I114" s="200"/>
      <c r="J114" s="200"/>
      <c r="K114" s="200"/>
      <c r="L114" s="200"/>
      <c r="N114" s="162">
        <f t="shared" si="7"/>
        <v>0</v>
      </c>
      <c r="O114" s="162">
        <f t="shared" si="8"/>
        <v>0</v>
      </c>
      <c r="P114" s="162">
        <f t="shared" si="9"/>
        <v>0</v>
      </c>
    </row>
    <row r="115" spans="1:16" x14ac:dyDescent="0.2">
      <c r="A115" s="81">
        <v>109</v>
      </c>
      <c r="B115" s="81">
        <f t="shared" si="10"/>
        <v>0</v>
      </c>
      <c r="C115" s="111"/>
      <c r="D115" s="199"/>
      <c r="E115" s="200"/>
      <c r="F115" s="200"/>
      <c r="G115" s="200"/>
      <c r="H115" s="200"/>
      <c r="I115" s="200"/>
      <c r="J115" s="200"/>
      <c r="K115" s="200"/>
      <c r="L115" s="200"/>
      <c r="N115" s="162">
        <f t="shared" si="7"/>
        <v>0</v>
      </c>
      <c r="O115" s="162">
        <f t="shared" si="8"/>
        <v>0</v>
      </c>
      <c r="P115" s="162">
        <f t="shared" si="9"/>
        <v>0</v>
      </c>
    </row>
    <row r="116" spans="1:16" x14ac:dyDescent="0.2">
      <c r="A116" s="81">
        <v>110</v>
      </c>
      <c r="B116" s="81">
        <f t="shared" si="10"/>
        <v>0</v>
      </c>
      <c r="C116" s="111"/>
      <c r="D116" s="199"/>
      <c r="E116" s="200"/>
      <c r="F116" s="200"/>
      <c r="G116" s="200"/>
      <c r="H116" s="200"/>
      <c r="I116" s="200"/>
      <c r="J116" s="200"/>
      <c r="K116" s="200"/>
      <c r="L116" s="200"/>
      <c r="N116" s="162">
        <f t="shared" si="7"/>
        <v>0</v>
      </c>
      <c r="O116" s="162">
        <f t="shared" si="8"/>
        <v>0</v>
      </c>
      <c r="P116" s="162">
        <f t="shared" si="9"/>
        <v>0</v>
      </c>
    </row>
    <row r="117" spans="1:16" x14ac:dyDescent="0.2">
      <c r="A117" s="81">
        <v>111</v>
      </c>
      <c r="B117" s="81">
        <f t="shared" si="10"/>
        <v>0</v>
      </c>
      <c r="C117" s="111"/>
      <c r="D117" s="199"/>
      <c r="E117" s="200"/>
      <c r="F117" s="200"/>
      <c r="G117" s="200"/>
      <c r="H117" s="200"/>
      <c r="I117" s="200"/>
      <c r="J117" s="200"/>
      <c r="K117" s="200"/>
      <c r="L117" s="200"/>
      <c r="N117" s="162">
        <f t="shared" si="7"/>
        <v>0</v>
      </c>
      <c r="O117" s="162">
        <f t="shared" si="8"/>
        <v>0</v>
      </c>
      <c r="P117" s="162">
        <f t="shared" si="9"/>
        <v>0</v>
      </c>
    </row>
    <row r="118" spans="1:16" x14ac:dyDescent="0.2">
      <c r="A118" s="81">
        <v>112</v>
      </c>
      <c r="B118" s="81">
        <f t="shared" si="10"/>
        <v>0</v>
      </c>
      <c r="C118" s="111"/>
      <c r="D118" s="199"/>
      <c r="E118" s="200"/>
      <c r="F118" s="200"/>
      <c r="G118" s="200"/>
      <c r="H118" s="200"/>
      <c r="I118" s="200"/>
      <c r="J118" s="200"/>
      <c r="K118" s="200"/>
      <c r="L118" s="200"/>
      <c r="N118" s="162">
        <f t="shared" si="7"/>
        <v>0</v>
      </c>
      <c r="O118" s="162">
        <f t="shared" si="8"/>
        <v>0</v>
      </c>
      <c r="P118" s="162">
        <f t="shared" si="9"/>
        <v>0</v>
      </c>
    </row>
    <row r="119" spans="1:16" x14ac:dyDescent="0.2">
      <c r="A119" s="81">
        <v>113</v>
      </c>
      <c r="B119" s="81">
        <f t="shared" si="10"/>
        <v>0</v>
      </c>
      <c r="C119" s="111"/>
      <c r="D119" s="199"/>
      <c r="E119" s="200"/>
      <c r="F119" s="200"/>
      <c r="G119" s="200"/>
      <c r="H119" s="200"/>
      <c r="I119" s="200"/>
      <c r="J119" s="200"/>
      <c r="K119" s="200"/>
      <c r="L119" s="200"/>
      <c r="N119" s="162">
        <f t="shared" si="7"/>
        <v>0</v>
      </c>
      <c r="O119" s="162">
        <f t="shared" si="8"/>
        <v>0</v>
      </c>
      <c r="P119" s="162">
        <f t="shared" si="9"/>
        <v>0</v>
      </c>
    </row>
    <row r="120" spans="1:16" x14ac:dyDescent="0.2">
      <c r="A120" s="81">
        <v>114</v>
      </c>
      <c r="B120" s="81">
        <f t="shared" si="10"/>
        <v>0</v>
      </c>
      <c r="C120" s="111"/>
      <c r="D120" s="199"/>
      <c r="E120" s="200"/>
      <c r="F120" s="200"/>
      <c r="G120" s="200"/>
      <c r="H120" s="200"/>
      <c r="I120" s="200"/>
      <c r="J120" s="200"/>
      <c r="K120" s="200"/>
      <c r="L120" s="200"/>
      <c r="N120" s="162">
        <f t="shared" si="7"/>
        <v>0</v>
      </c>
      <c r="O120" s="162">
        <f t="shared" si="8"/>
        <v>0</v>
      </c>
      <c r="P120" s="162">
        <f t="shared" si="9"/>
        <v>0</v>
      </c>
    </row>
    <row r="121" spans="1:16" x14ac:dyDescent="0.2">
      <c r="A121" s="81">
        <v>115</v>
      </c>
      <c r="B121" s="81">
        <f t="shared" si="10"/>
        <v>0</v>
      </c>
      <c r="C121" s="111"/>
      <c r="D121" s="199"/>
      <c r="E121" s="200"/>
      <c r="F121" s="200"/>
      <c r="G121" s="200"/>
      <c r="H121" s="200"/>
      <c r="I121" s="200"/>
      <c r="J121" s="200"/>
      <c r="K121" s="200"/>
      <c r="L121" s="200"/>
      <c r="N121" s="162">
        <f t="shared" ref="N121:N126" si="11">L121*100/2</f>
        <v>0</v>
      </c>
      <c r="O121" s="162">
        <f t="shared" ref="O121:O126" si="12">K121*100</f>
        <v>0</v>
      </c>
      <c r="P121" s="162">
        <f t="shared" ref="P121:P126" si="13">(J121-K121)*100</f>
        <v>0</v>
      </c>
    </row>
    <row r="122" spans="1:16" x14ac:dyDescent="0.2">
      <c r="A122" s="81">
        <v>116</v>
      </c>
      <c r="B122" s="81">
        <f t="shared" si="10"/>
        <v>0</v>
      </c>
      <c r="C122" s="111"/>
      <c r="D122" s="199"/>
      <c r="E122" s="200"/>
      <c r="F122" s="200"/>
      <c r="G122" s="200"/>
      <c r="H122" s="200"/>
      <c r="I122" s="200"/>
      <c r="J122" s="200"/>
      <c r="K122" s="200"/>
      <c r="L122" s="200"/>
      <c r="N122" s="162">
        <f t="shared" si="11"/>
        <v>0</v>
      </c>
      <c r="O122" s="162">
        <f t="shared" si="12"/>
        <v>0</v>
      </c>
      <c r="P122" s="162">
        <f t="shared" si="13"/>
        <v>0</v>
      </c>
    </row>
    <row r="123" spans="1:16" x14ac:dyDescent="0.2">
      <c r="A123" s="81">
        <v>117</v>
      </c>
      <c r="B123" s="81">
        <f t="shared" si="10"/>
        <v>0</v>
      </c>
      <c r="C123" s="111"/>
      <c r="D123" s="199"/>
      <c r="E123" s="200"/>
      <c r="F123" s="200"/>
      <c r="G123" s="200"/>
      <c r="H123" s="200"/>
      <c r="I123" s="200"/>
      <c r="J123" s="200"/>
      <c r="K123" s="200"/>
      <c r="L123" s="200"/>
      <c r="N123" s="162">
        <f t="shared" si="11"/>
        <v>0</v>
      </c>
      <c r="O123" s="162">
        <f t="shared" si="12"/>
        <v>0</v>
      </c>
      <c r="P123" s="162">
        <f t="shared" si="13"/>
        <v>0</v>
      </c>
    </row>
    <row r="124" spans="1:16" x14ac:dyDescent="0.2">
      <c r="A124" s="81">
        <v>118</v>
      </c>
      <c r="B124" s="81">
        <f t="shared" si="10"/>
        <v>0</v>
      </c>
      <c r="C124" s="111"/>
      <c r="D124" s="199"/>
      <c r="E124" s="200"/>
      <c r="F124" s="200"/>
      <c r="G124" s="200"/>
      <c r="H124" s="200"/>
      <c r="I124" s="200"/>
      <c r="J124" s="200"/>
      <c r="K124" s="200"/>
      <c r="L124" s="200"/>
      <c r="N124" s="162">
        <f t="shared" si="11"/>
        <v>0</v>
      </c>
      <c r="O124" s="162">
        <f t="shared" si="12"/>
        <v>0</v>
      </c>
      <c r="P124" s="162">
        <f t="shared" si="13"/>
        <v>0</v>
      </c>
    </row>
    <row r="125" spans="1:16" x14ac:dyDescent="0.2">
      <c r="A125" s="81">
        <v>119</v>
      </c>
      <c r="B125" s="81">
        <f t="shared" si="10"/>
        <v>0</v>
      </c>
      <c r="C125" s="111"/>
      <c r="D125" s="199"/>
      <c r="E125" s="200"/>
      <c r="F125" s="200"/>
      <c r="G125" s="200"/>
      <c r="H125" s="200"/>
      <c r="I125" s="200"/>
      <c r="J125" s="200"/>
      <c r="K125" s="200"/>
      <c r="L125" s="200"/>
      <c r="N125" s="162">
        <f t="shared" si="11"/>
        <v>0</v>
      </c>
      <c r="O125" s="162">
        <f t="shared" si="12"/>
        <v>0</v>
      </c>
      <c r="P125" s="162">
        <f t="shared" si="13"/>
        <v>0</v>
      </c>
    </row>
    <row r="126" spans="1:16" x14ac:dyDescent="0.2">
      <c r="A126" s="81">
        <v>120</v>
      </c>
      <c r="B126" s="81">
        <f t="shared" si="10"/>
        <v>0</v>
      </c>
      <c r="C126" s="111"/>
      <c r="D126" s="199"/>
      <c r="E126" s="200"/>
      <c r="F126" s="200"/>
      <c r="G126" s="200"/>
      <c r="H126" s="200"/>
      <c r="I126" s="200"/>
      <c r="J126" s="200"/>
      <c r="K126" s="200"/>
      <c r="L126" s="200"/>
      <c r="N126" s="162">
        <f t="shared" si="11"/>
        <v>0</v>
      </c>
      <c r="O126" s="162">
        <f t="shared" si="12"/>
        <v>0</v>
      </c>
      <c r="P126" s="162">
        <f t="shared" si="13"/>
        <v>0</v>
      </c>
    </row>
    <row r="127" spans="1:16" x14ac:dyDescent="0.2">
      <c r="A127" s="81">
        <v>121</v>
      </c>
      <c r="B127" s="81">
        <f t="shared" si="10"/>
        <v>0</v>
      </c>
      <c r="C127" s="111"/>
      <c r="D127" s="199"/>
      <c r="E127" s="200"/>
      <c r="F127" s="200"/>
      <c r="G127" s="200"/>
      <c r="H127" s="200"/>
      <c r="I127" s="200"/>
      <c r="J127" s="200"/>
      <c r="K127" s="200"/>
      <c r="L127" s="200"/>
      <c r="N127" s="162">
        <f t="shared" ref="N127:N156" si="14">L127*100/2</f>
        <v>0</v>
      </c>
      <c r="O127" s="162">
        <f t="shared" ref="O127:O156" si="15">K127*100</f>
        <v>0</v>
      </c>
      <c r="P127" s="162">
        <f t="shared" ref="P127:P156" si="16">(J127-K127)*100</f>
        <v>0</v>
      </c>
    </row>
    <row r="128" spans="1:16" x14ac:dyDescent="0.2">
      <c r="A128" s="81">
        <v>122</v>
      </c>
      <c r="B128" s="81">
        <f t="shared" si="10"/>
        <v>0</v>
      </c>
      <c r="C128" s="111"/>
      <c r="D128" s="199"/>
      <c r="E128" s="200"/>
      <c r="F128" s="200"/>
      <c r="G128" s="200"/>
      <c r="H128" s="200"/>
      <c r="I128" s="200"/>
      <c r="J128" s="200"/>
      <c r="K128" s="200"/>
      <c r="L128" s="200"/>
      <c r="N128" s="162">
        <f t="shared" si="14"/>
        <v>0</v>
      </c>
      <c r="O128" s="162">
        <f t="shared" si="15"/>
        <v>0</v>
      </c>
      <c r="P128" s="162">
        <f t="shared" si="16"/>
        <v>0</v>
      </c>
    </row>
    <row r="129" spans="1:16" x14ac:dyDescent="0.2">
      <c r="A129" s="81">
        <v>123</v>
      </c>
      <c r="B129" s="81">
        <f t="shared" si="10"/>
        <v>0</v>
      </c>
      <c r="C129" s="111"/>
      <c r="D129" s="199"/>
      <c r="E129" s="200"/>
      <c r="F129" s="200"/>
      <c r="G129" s="200"/>
      <c r="H129" s="200"/>
      <c r="I129" s="200"/>
      <c r="J129" s="200"/>
      <c r="K129" s="200"/>
      <c r="L129" s="200"/>
      <c r="N129" s="162">
        <f t="shared" si="14"/>
        <v>0</v>
      </c>
      <c r="O129" s="162">
        <f t="shared" si="15"/>
        <v>0</v>
      </c>
      <c r="P129" s="162">
        <f t="shared" si="16"/>
        <v>0</v>
      </c>
    </row>
    <row r="130" spans="1:16" x14ac:dyDescent="0.2">
      <c r="A130" s="81">
        <v>124</v>
      </c>
      <c r="B130" s="81">
        <f t="shared" si="10"/>
        <v>0</v>
      </c>
      <c r="C130" s="111"/>
      <c r="D130" s="199"/>
      <c r="E130" s="200"/>
      <c r="F130" s="200"/>
      <c r="G130" s="200"/>
      <c r="H130" s="200"/>
      <c r="I130" s="200"/>
      <c r="J130" s="200"/>
      <c r="K130" s="200"/>
      <c r="L130" s="200"/>
      <c r="N130" s="162">
        <f t="shared" si="14"/>
        <v>0</v>
      </c>
      <c r="O130" s="162">
        <f t="shared" si="15"/>
        <v>0</v>
      </c>
      <c r="P130" s="162">
        <f t="shared" si="16"/>
        <v>0</v>
      </c>
    </row>
    <row r="131" spans="1:16" x14ac:dyDescent="0.2">
      <c r="A131" s="81">
        <v>125</v>
      </c>
      <c r="B131" s="81">
        <f t="shared" si="10"/>
        <v>0</v>
      </c>
      <c r="C131" s="111"/>
      <c r="D131" s="199"/>
      <c r="E131" s="200"/>
      <c r="F131" s="200"/>
      <c r="G131" s="200"/>
      <c r="H131" s="200"/>
      <c r="I131" s="200"/>
      <c r="J131" s="200"/>
      <c r="K131" s="200"/>
      <c r="L131" s="200"/>
      <c r="N131" s="162">
        <f t="shared" si="14"/>
        <v>0</v>
      </c>
      <c r="O131" s="162">
        <f t="shared" si="15"/>
        <v>0</v>
      </c>
      <c r="P131" s="162">
        <f t="shared" si="16"/>
        <v>0</v>
      </c>
    </row>
    <row r="132" spans="1:16" x14ac:dyDescent="0.2">
      <c r="A132" s="81">
        <v>126</v>
      </c>
      <c r="B132" s="81">
        <f t="shared" si="10"/>
        <v>0</v>
      </c>
      <c r="C132" s="111"/>
      <c r="D132" s="199"/>
      <c r="E132" s="200"/>
      <c r="F132" s="200"/>
      <c r="G132" s="200"/>
      <c r="H132" s="200"/>
      <c r="I132" s="200"/>
      <c r="J132" s="200"/>
      <c r="K132" s="200"/>
      <c r="L132" s="200"/>
      <c r="N132" s="162">
        <f t="shared" si="14"/>
        <v>0</v>
      </c>
      <c r="O132" s="162">
        <f t="shared" si="15"/>
        <v>0</v>
      </c>
      <c r="P132" s="162">
        <f t="shared" si="16"/>
        <v>0</v>
      </c>
    </row>
    <row r="133" spans="1:16" x14ac:dyDescent="0.2">
      <c r="A133" s="81">
        <v>127</v>
      </c>
      <c r="B133" s="81">
        <f t="shared" si="10"/>
        <v>0</v>
      </c>
      <c r="C133" s="111"/>
      <c r="D133" s="199"/>
      <c r="E133" s="200"/>
      <c r="F133" s="200"/>
      <c r="G133" s="200"/>
      <c r="H133" s="200"/>
      <c r="I133" s="200"/>
      <c r="J133" s="200"/>
      <c r="K133" s="200"/>
      <c r="L133" s="200"/>
      <c r="N133" s="162">
        <f t="shared" si="14"/>
        <v>0</v>
      </c>
      <c r="O133" s="162">
        <f t="shared" si="15"/>
        <v>0</v>
      </c>
      <c r="P133" s="162">
        <f t="shared" si="16"/>
        <v>0</v>
      </c>
    </row>
    <row r="134" spans="1:16" x14ac:dyDescent="0.2">
      <c r="A134" s="81">
        <v>128</v>
      </c>
      <c r="B134" s="81">
        <f t="shared" si="10"/>
        <v>0</v>
      </c>
      <c r="C134" s="111"/>
      <c r="D134" s="199"/>
      <c r="E134" s="200"/>
      <c r="F134" s="200"/>
      <c r="G134" s="200"/>
      <c r="H134" s="200"/>
      <c r="I134" s="200"/>
      <c r="J134" s="200"/>
      <c r="K134" s="200"/>
      <c r="L134" s="200"/>
      <c r="N134" s="162">
        <f t="shared" si="14"/>
        <v>0</v>
      </c>
      <c r="O134" s="162">
        <f t="shared" si="15"/>
        <v>0</v>
      </c>
      <c r="P134" s="162">
        <f t="shared" si="16"/>
        <v>0</v>
      </c>
    </row>
    <row r="135" spans="1:16" x14ac:dyDescent="0.2">
      <c r="A135" s="81">
        <v>129</v>
      </c>
      <c r="B135" s="81">
        <f t="shared" si="10"/>
        <v>0</v>
      </c>
      <c r="C135" s="111"/>
      <c r="D135" s="199"/>
      <c r="E135" s="200"/>
      <c r="F135" s="200"/>
      <c r="G135" s="200"/>
      <c r="H135" s="200"/>
      <c r="I135" s="200"/>
      <c r="J135" s="200"/>
      <c r="K135" s="200"/>
      <c r="L135" s="200"/>
      <c r="N135" s="162">
        <f t="shared" si="14"/>
        <v>0</v>
      </c>
      <c r="O135" s="162">
        <f t="shared" si="15"/>
        <v>0</v>
      </c>
      <c r="P135" s="162">
        <f t="shared" si="16"/>
        <v>0</v>
      </c>
    </row>
    <row r="136" spans="1:16" x14ac:dyDescent="0.2">
      <c r="A136" s="81">
        <v>130</v>
      </c>
      <c r="B136" s="81">
        <f t="shared" ref="B136:B156" si="17">IF(C136=$Q$7,$R$7,IF(C136=$Q$8,$R$8,IF(C136=$Q$9,$R$9,IF(C136=$Q$10,$R$10,IF(C136=$Q$11,$R$11,IF(C136=$Q$12,$R$12,IF(C136=$Q$13,$R$13,IF(C136=$Q$14,$R$14,IF(C136=$Q$15,$R$15,IF(C136=$Q$16,$R$16,IF(C136=$Q$17,$R$17,IF(C136=$Q$18,$R$18,IF(C136=$Q$19,$R$19,IF(C136=$Q$20,$R$20,IF(C136=$Q$21,$R$21,IF(C136=$Q$22,$R$22,IF(C136=$Q$23,$R$23,IF(C136=$Q$24,$R$24,IF(C136=$Q$25,$R$25,IF(C136=$Q$26,$R$26,IF(C136=$Q$27,$R$27,IF(C136=$Q$28,$R$28,IF(C136=$Q$29,$R$29,IF(C136=$Q$30,$R$30,IF(C136=$Q$31,$R$31,IF(C136=$Q$32,$R$32,IF(C136=$Q$33,$R$33,IF(C136=$Q$34,$R$34,IF(C136=$Q$35,$R$35,IF(C136=$Q$36,$R$36,IF(C136=$Q$37,$R$37,IF(C136=$Q$38,$R$38,IF(C136=$Q$39,$R$39,IF(C136=$Q$40,$R$40,IF(C136=$Q$41,$R$41)))))))))))))))))))))))))))))))))))</f>
        <v>0</v>
      </c>
      <c r="C136" s="111"/>
      <c r="D136" s="199"/>
      <c r="E136" s="200"/>
      <c r="F136" s="200"/>
      <c r="G136" s="200"/>
      <c r="H136" s="200"/>
      <c r="I136" s="200"/>
      <c r="J136" s="200"/>
      <c r="K136" s="200"/>
      <c r="L136" s="200"/>
      <c r="N136" s="162">
        <f t="shared" si="14"/>
        <v>0</v>
      </c>
      <c r="O136" s="162">
        <f t="shared" si="15"/>
        <v>0</v>
      </c>
      <c r="P136" s="162">
        <f t="shared" si="16"/>
        <v>0</v>
      </c>
    </row>
    <row r="137" spans="1:16" x14ac:dyDescent="0.2">
      <c r="A137" s="81">
        <v>131</v>
      </c>
      <c r="B137" s="81">
        <f t="shared" si="17"/>
        <v>0</v>
      </c>
      <c r="C137" s="111"/>
      <c r="D137" s="199"/>
      <c r="E137" s="200"/>
      <c r="F137" s="200"/>
      <c r="G137" s="200"/>
      <c r="H137" s="200"/>
      <c r="I137" s="200"/>
      <c r="J137" s="200"/>
      <c r="K137" s="200"/>
      <c r="L137" s="200"/>
      <c r="N137" s="162">
        <f t="shared" si="14"/>
        <v>0</v>
      </c>
      <c r="O137" s="162">
        <f t="shared" si="15"/>
        <v>0</v>
      </c>
      <c r="P137" s="162">
        <f t="shared" si="16"/>
        <v>0</v>
      </c>
    </row>
    <row r="138" spans="1:16" x14ac:dyDescent="0.2">
      <c r="A138" s="81">
        <v>132</v>
      </c>
      <c r="B138" s="81">
        <f t="shared" si="17"/>
        <v>0</v>
      </c>
      <c r="C138" s="111"/>
      <c r="D138" s="199"/>
      <c r="E138" s="200"/>
      <c r="F138" s="200"/>
      <c r="G138" s="200"/>
      <c r="H138" s="200"/>
      <c r="I138" s="200"/>
      <c r="J138" s="200"/>
      <c r="K138" s="200"/>
      <c r="L138" s="200"/>
      <c r="N138" s="162">
        <f t="shared" si="14"/>
        <v>0</v>
      </c>
      <c r="O138" s="162">
        <f t="shared" si="15"/>
        <v>0</v>
      </c>
      <c r="P138" s="162">
        <f t="shared" si="16"/>
        <v>0</v>
      </c>
    </row>
    <row r="139" spans="1:16" x14ac:dyDescent="0.2">
      <c r="A139" s="81">
        <v>133</v>
      </c>
      <c r="B139" s="81">
        <f t="shared" si="17"/>
        <v>0</v>
      </c>
      <c r="C139" s="111"/>
      <c r="D139" s="199"/>
      <c r="E139" s="200"/>
      <c r="F139" s="200"/>
      <c r="G139" s="200"/>
      <c r="H139" s="200"/>
      <c r="I139" s="200"/>
      <c r="J139" s="200"/>
      <c r="K139" s="200"/>
      <c r="L139" s="200"/>
      <c r="N139" s="162">
        <f t="shared" si="14"/>
        <v>0</v>
      </c>
      <c r="O139" s="162">
        <f t="shared" si="15"/>
        <v>0</v>
      </c>
      <c r="P139" s="162">
        <f t="shared" si="16"/>
        <v>0</v>
      </c>
    </row>
    <row r="140" spans="1:16" x14ac:dyDescent="0.2">
      <c r="A140" s="81">
        <v>134</v>
      </c>
      <c r="B140" s="81">
        <f t="shared" si="17"/>
        <v>0</v>
      </c>
      <c r="C140" s="111"/>
      <c r="D140" s="199"/>
      <c r="E140" s="200"/>
      <c r="F140" s="200"/>
      <c r="G140" s="200"/>
      <c r="H140" s="200"/>
      <c r="I140" s="200"/>
      <c r="J140" s="200"/>
      <c r="K140" s="200"/>
      <c r="L140" s="200"/>
      <c r="N140" s="162">
        <f t="shared" si="14"/>
        <v>0</v>
      </c>
      <c r="O140" s="162">
        <f t="shared" si="15"/>
        <v>0</v>
      </c>
      <c r="P140" s="162">
        <f t="shared" si="16"/>
        <v>0</v>
      </c>
    </row>
    <row r="141" spans="1:16" x14ac:dyDescent="0.2">
      <c r="A141" s="81">
        <v>135</v>
      </c>
      <c r="B141" s="81">
        <f t="shared" si="17"/>
        <v>0</v>
      </c>
      <c r="C141" s="111"/>
      <c r="D141" s="199"/>
      <c r="E141" s="200"/>
      <c r="F141" s="200"/>
      <c r="G141" s="200"/>
      <c r="H141" s="200"/>
      <c r="I141" s="200"/>
      <c r="J141" s="200"/>
      <c r="K141" s="200"/>
      <c r="L141" s="200"/>
      <c r="N141" s="162">
        <f t="shared" si="14"/>
        <v>0</v>
      </c>
      <c r="O141" s="162">
        <f t="shared" si="15"/>
        <v>0</v>
      </c>
      <c r="P141" s="162">
        <f t="shared" si="16"/>
        <v>0</v>
      </c>
    </row>
    <row r="142" spans="1:16" x14ac:dyDescent="0.2">
      <c r="A142" s="81">
        <v>136</v>
      </c>
      <c r="B142" s="81">
        <f t="shared" si="17"/>
        <v>0</v>
      </c>
      <c r="C142" s="111"/>
      <c r="D142" s="199"/>
      <c r="E142" s="200"/>
      <c r="F142" s="200"/>
      <c r="G142" s="200"/>
      <c r="H142" s="200"/>
      <c r="I142" s="200"/>
      <c r="J142" s="200"/>
      <c r="K142" s="200"/>
      <c r="L142" s="200"/>
      <c r="N142" s="162">
        <f t="shared" si="14"/>
        <v>0</v>
      </c>
      <c r="O142" s="162">
        <f t="shared" si="15"/>
        <v>0</v>
      </c>
      <c r="P142" s="162">
        <f t="shared" si="16"/>
        <v>0</v>
      </c>
    </row>
    <row r="143" spans="1:16" x14ac:dyDescent="0.2">
      <c r="A143" s="81">
        <v>137</v>
      </c>
      <c r="B143" s="81">
        <f t="shared" si="17"/>
        <v>0</v>
      </c>
      <c r="C143" s="111"/>
      <c r="D143" s="199"/>
      <c r="E143" s="200"/>
      <c r="F143" s="200"/>
      <c r="G143" s="200"/>
      <c r="H143" s="200"/>
      <c r="I143" s="200"/>
      <c r="J143" s="200"/>
      <c r="K143" s="200"/>
      <c r="L143" s="200"/>
      <c r="N143" s="162">
        <f t="shared" si="14"/>
        <v>0</v>
      </c>
      <c r="O143" s="162">
        <f t="shared" si="15"/>
        <v>0</v>
      </c>
      <c r="P143" s="162">
        <f t="shared" si="16"/>
        <v>0</v>
      </c>
    </row>
    <row r="144" spans="1:16" x14ac:dyDescent="0.2">
      <c r="A144" s="81">
        <v>138</v>
      </c>
      <c r="B144" s="81">
        <f t="shared" si="17"/>
        <v>0</v>
      </c>
      <c r="C144" s="111"/>
      <c r="D144" s="199"/>
      <c r="E144" s="200"/>
      <c r="F144" s="200"/>
      <c r="G144" s="200"/>
      <c r="H144" s="200"/>
      <c r="I144" s="200"/>
      <c r="J144" s="200"/>
      <c r="K144" s="200"/>
      <c r="L144" s="200"/>
      <c r="N144" s="162">
        <f t="shared" si="14"/>
        <v>0</v>
      </c>
      <c r="O144" s="162">
        <f t="shared" si="15"/>
        <v>0</v>
      </c>
      <c r="P144" s="162">
        <f t="shared" si="16"/>
        <v>0</v>
      </c>
    </row>
    <row r="145" spans="1:16" x14ac:dyDescent="0.2">
      <c r="A145" s="81">
        <v>139</v>
      </c>
      <c r="B145" s="81">
        <f t="shared" si="17"/>
        <v>0</v>
      </c>
      <c r="C145" s="111"/>
      <c r="D145" s="199"/>
      <c r="E145" s="200"/>
      <c r="F145" s="200"/>
      <c r="G145" s="200"/>
      <c r="H145" s="200"/>
      <c r="I145" s="200"/>
      <c r="J145" s="200"/>
      <c r="K145" s="200"/>
      <c r="L145" s="200"/>
      <c r="N145" s="162">
        <f t="shared" si="14"/>
        <v>0</v>
      </c>
      <c r="O145" s="162">
        <f t="shared" si="15"/>
        <v>0</v>
      </c>
      <c r="P145" s="162">
        <f t="shared" si="16"/>
        <v>0</v>
      </c>
    </row>
    <row r="146" spans="1:16" x14ac:dyDescent="0.2">
      <c r="A146" s="81">
        <v>140</v>
      </c>
      <c r="B146" s="81">
        <f t="shared" si="17"/>
        <v>0</v>
      </c>
      <c r="C146" s="111"/>
      <c r="D146" s="199"/>
      <c r="E146" s="200"/>
      <c r="F146" s="200"/>
      <c r="G146" s="200"/>
      <c r="H146" s="200"/>
      <c r="I146" s="200"/>
      <c r="J146" s="200"/>
      <c r="K146" s="200"/>
      <c r="L146" s="200"/>
      <c r="N146" s="162">
        <f t="shared" si="14"/>
        <v>0</v>
      </c>
      <c r="O146" s="162">
        <f t="shared" si="15"/>
        <v>0</v>
      </c>
      <c r="P146" s="162">
        <f t="shared" si="16"/>
        <v>0</v>
      </c>
    </row>
    <row r="147" spans="1:16" x14ac:dyDescent="0.2">
      <c r="A147" s="81">
        <v>141</v>
      </c>
      <c r="B147" s="81">
        <f t="shared" si="17"/>
        <v>0</v>
      </c>
      <c r="C147" s="111"/>
      <c r="D147" s="199"/>
      <c r="E147" s="200"/>
      <c r="F147" s="200"/>
      <c r="G147" s="200"/>
      <c r="H147" s="200"/>
      <c r="I147" s="200"/>
      <c r="J147" s="200"/>
      <c r="K147" s="200"/>
      <c r="L147" s="200"/>
      <c r="N147" s="162">
        <f t="shared" si="14"/>
        <v>0</v>
      </c>
      <c r="O147" s="162">
        <f t="shared" si="15"/>
        <v>0</v>
      </c>
      <c r="P147" s="162">
        <f t="shared" si="16"/>
        <v>0</v>
      </c>
    </row>
    <row r="148" spans="1:16" x14ac:dyDescent="0.2">
      <c r="A148" s="81">
        <v>142</v>
      </c>
      <c r="B148" s="81">
        <f t="shared" si="17"/>
        <v>0</v>
      </c>
      <c r="C148" s="111"/>
      <c r="D148" s="199"/>
      <c r="E148" s="200"/>
      <c r="F148" s="200"/>
      <c r="G148" s="200"/>
      <c r="H148" s="200"/>
      <c r="I148" s="200"/>
      <c r="J148" s="200"/>
      <c r="K148" s="200"/>
      <c r="L148" s="200"/>
      <c r="N148" s="162">
        <f t="shared" si="14"/>
        <v>0</v>
      </c>
      <c r="O148" s="162">
        <f t="shared" si="15"/>
        <v>0</v>
      </c>
      <c r="P148" s="162">
        <f t="shared" si="16"/>
        <v>0</v>
      </c>
    </row>
    <row r="149" spans="1:16" x14ac:dyDescent="0.2">
      <c r="A149" s="81">
        <v>143</v>
      </c>
      <c r="B149" s="81">
        <f t="shared" si="17"/>
        <v>0</v>
      </c>
      <c r="C149" s="111"/>
      <c r="D149" s="199"/>
      <c r="E149" s="200"/>
      <c r="F149" s="200"/>
      <c r="G149" s="200"/>
      <c r="H149" s="200"/>
      <c r="I149" s="200"/>
      <c r="J149" s="200"/>
      <c r="K149" s="200"/>
      <c r="L149" s="200"/>
      <c r="N149" s="162">
        <f t="shared" si="14"/>
        <v>0</v>
      </c>
      <c r="O149" s="162">
        <f t="shared" si="15"/>
        <v>0</v>
      </c>
      <c r="P149" s="162">
        <f t="shared" si="16"/>
        <v>0</v>
      </c>
    </row>
    <row r="150" spans="1:16" x14ac:dyDescent="0.2">
      <c r="A150" s="81">
        <v>144</v>
      </c>
      <c r="B150" s="81">
        <f t="shared" si="17"/>
        <v>0</v>
      </c>
      <c r="C150" s="111"/>
      <c r="D150" s="199"/>
      <c r="E150" s="200"/>
      <c r="F150" s="200"/>
      <c r="G150" s="200"/>
      <c r="H150" s="200"/>
      <c r="I150" s="200"/>
      <c r="J150" s="200"/>
      <c r="K150" s="200"/>
      <c r="L150" s="200"/>
      <c r="N150" s="162">
        <f t="shared" si="14"/>
        <v>0</v>
      </c>
      <c r="O150" s="162">
        <f t="shared" si="15"/>
        <v>0</v>
      </c>
      <c r="P150" s="162">
        <f t="shared" si="16"/>
        <v>0</v>
      </c>
    </row>
    <row r="151" spans="1:16" x14ac:dyDescent="0.2">
      <c r="A151" s="81">
        <v>145</v>
      </c>
      <c r="B151" s="81">
        <f t="shared" si="17"/>
        <v>0</v>
      </c>
      <c r="C151" s="111"/>
      <c r="D151" s="199"/>
      <c r="E151" s="200"/>
      <c r="F151" s="200"/>
      <c r="G151" s="200"/>
      <c r="H151" s="200"/>
      <c r="I151" s="200"/>
      <c r="J151" s="200"/>
      <c r="K151" s="200"/>
      <c r="L151" s="200"/>
      <c r="N151" s="162">
        <f t="shared" si="14"/>
        <v>0</v>
      </c>
      <c r="O151" s="162">
        <f t="shared" si="15"/>
        <v>0</v>
      </c>
      <c r="P151" s="162">
        <f t="shared" si="16"/>
        <v>0</v>
      </c>
    </row>
    <row r="152" spans="1:16" x14ac:dyDescent="0.2">
      <c r="A152" s="81">
        <v>146</v>
      </c>
      <c r="B152" s="81">
        <f t="shared" si="17"/>
        <v>0</v>
      </c>
      <c r="C152" s="111"/>
      <c r="D152" s="199"/>
      <c r="E152" s="200"/>
      <c r="F152" s="200"/>
      <c r="G152" s="200"/>
      <c r="H152" s="200"/>
      <c r="I152" s="200"/>
      <c r="J152" s="200"/>
      <c r="K152" s="200"/>
      <c r="L152" s="200"/>
      <c r="N152" s="162">
        <f t="shared" si="14"/>
        <v>0</v>
      </c>
      <c r="O152" s="162">
        <f t="shared" si="15"/>
        <v>0</v>
      </c>
      <c r="P152" s="162">
        <f t="shared" si="16"/>
        <v>0</v>
      </c>
    </row>
    <row r="153" spans="1:16" x14ac:dyDescent="0.2">
      <c r="A153" s="81">
        <v>147</v>
      </c>
      <c r="B153" s="81">
        <f t="shared" si="17"/>
        <v>0</v>
      </c>
      <c r="C153" s="111"/>
      <c r="D153" s="199"/>
      <c r="E153" s="200"/>
      <c r="F153" s="200"/>
      <c r="G153" s="200"/>
      <c r="H153" s="200"/>
      <c r="I153" s="200"/>
      <c r="J153" s="200"/>
      <c r="K153" s="200"/>
      <c r="L153" s="200"/>
      <c r="N153" s="162">
        <f t="shared" si="14"/>
        <v>0</v>
      </c>
      <c r="O153" s="162">
        <f t="shared" si="15"/>
        <v>0</v>
      </c>
      <c r="P153" s="162">
        <f t="shared" si="16"/>
        <v>0</v>
      </c>
    </row>
    <row r="154" spans="1:16" x14ac:dyDescent="0.2">
      <c r="A154" s="81">
        <v>148</v>
      </c>
      <c r="B154" s="81">
        <f t="shared" si="17"/>
        <v>0</v>
      </c>
      <c r="C154" s="111"/>
      <c r="D154" s="199"/>
      <c r="E154" s="200"/>
      <c r="F154" s="200"/>
      <c r="G154" s="200"/>
      <c r="H154" s="200"/>
      <c r="I154" s="200"/>
      <c r="J154" s="200"/>
      <c r="K154" s="200"/>
      <c r="L154" s="200"/>
      <c r="N154" s="162">
        <f t="shared" si="14"/>
        <v>0</v>
      </c>
      <c r="O154" s="162">
        <f t="shared" si="15"/>
        <v>0</v>
      </c>
      <c r="P154" s="162">
        <f t="shared" si="16"/>
        <v>0</v>
      </c>
    </row>
    <row r="155" spans="1:16" x14ac:dyDescent="0.2">
      <c r="A155" s="81">
        <v>149</v>
      </c>
      <c r="B155" s="81">
        <f t="shared" si="17"/>
        <v>0</v>
      </c>
      <c r="C155" s="111"/>
      <c r="D155" s="199"/>
      <c r="E155" s="200"/>
      <c r="F155" s="200"/>
      <c r="G155" s="200"/>
      <c r="H155" s="200"/>
      <c r="I155" s="200"/>
      <c r="J155" s="200"/>
      <c r="K155" s="200"/>
      <c r="L155" s="200"/>
      <c r="N155" s="162">
        <f t="shared" si="14"/>
        <v>0</v>
      </c>
      <c r="O155" s="162">
        <f t="shared" si="15"/>
        <v>0</v>
      </c>
      <c r="P155" s="162">
        <f t="shared" si="16"/>
        <v>0</v>
      </c>
    </row>
    <row r="156" spans="1:16" x14ac:dyDescent="0.2">
      <c r="A156" s="81">
        <v>150</v>
      </c>
      <c r="B156" s="81">
        <f t="shared" si="17"/>
        <v>0</v>
      </c>
      <c r="C156" s="111"/>
      <c r="D156" s="199"/>
      <c r="E156" s="200"/>
      <c r="F156" s="200"/>
      <c r="G156" s="200"/>
      <c r="H156" s="200"/>
      <c r="I156" s="200"/>
      <c r="J156" s="200"/>
      <c r="K156" s="200"/>
      <c r="L156" s="200"/>
      <c r="N156" s="162">
        <f t="shared" si="14"/>
        <v>0</v>
      </c>
      <c r="O156" s="162">
        <f t="shared" si="15"/>
        <v>0</v>
      </c>
      <c r="P156" s="162">
        <f t="shared" si="16"/>
        <v>0</v>
      </c>
    </row>
  </sheetData>
  <sheetProtection password="CA15" sheet="1" objects="1" scenarios="1" formatCells="0"/>
  <protectedRanges>
    <protectedRange sqref="C7:L156 Q12:R41" name="Range1"/>
  </protectedRanges>
  <dataConsolidate/>
  <mergeCells count="10">
    <mergeCell ref="Q5:T5"/>
    <mergeCell ref="D1:L1"/>
    <mergeCell ref="N5:P5"/>
    <mergeCell ref="F3:G3"/>
    <mergeCell ref="H3:I3"/>
    <mergeCell ref="J3:L3"/>
    <mergeCell ref="J4:L4"/>
    <mergeCell ref="F2:G2"/>
    <mergeCell ref="H2:I2"/>
    <mergeCell ref="J2:L2"/>
  </mergeCells>
  <conditionalFormatting sqref="D7:L156">
    <cfRule type="notContainsBlanks" dxfId="41" priority="5">
      <formula>LEN(TRIM(D7))&gt;0</formula>
    </cfRule>
    <cfRule type="notContainsBlanks" dxfId="40" priority="9">
      <formula>LEN(TRIM(D7))&gt;0</formula>
    </cfRule>
    <cfRule type="notContainsBlanks" dxfId="39" priority="14">
      <formula>LEN(TRIM(D7))&gt;0</formula>
    </cfRule>
    <cfRule type="notContainsBlanks" dxfId="38" priority="15">
      <formula>LEN(TRIM(D7))&gt;0</formula>
    </cfRule>
    <cfRule type="notContainsBlanks" dxfId="37" priority="16">
      <formula>LEN(TRIM(D7))&gt;0</formula>
    </cfRule>
  </conditionalFormatting>
  <conditionalFormatting sqref="Q11">
    <cfRule type="containsBlanks" dxfId="36" priority="11">
      <formula>LEN(TRIM(Q11))=0</formula>
    </cfRule>
  </conditionalFormatting>
  <conditionalFormatting sqref="M7:M56 C7:C156">
    <cfRule type="notContainsBlanks" dxfId="35" priority="2">
      <formula>LEN(TRIM(C7))&gt;0</formula>
    </cfRule>
  </conditionalFormatting>
  <dataValidations xWindow="260" yWindow="391" count="2">
    <dataValidation type="list" allowBlank="1" showInputMessage="1" showErrorMessage="1" sqref="R12:R41" xr:uid="{00000000-0002-0000-0100-000000000000}">
      <formula1>"1,2"</formula1>
    </dataValidation>
    <dataValidation type="list" allowBlank="1" showInputMessage="1" showErrorMessage="1" sqref="C7:C156" xr:uid="{00000000-0002-0000-0100-000001000000}">
      <formula1>$Q$7:$Q$41</formula1>
    </dataValidation>
  </dataValidations>
  <pageMargins left="0.7" right="0.7" top="0.75" bottom="0.75" header="0.3" footer="0.3"/>
  <pageSetup paperSize="9" orientation="portrait" r:id="rId1"/>
  <drawing r:id="rId2"/>
  <picture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CCFF"/>
  </sheetPr>
  <dimension ref="A1:AC52"/>
  <sheetViews>
    <sheetView showGridLines="0" zoomScale="90" zoomScaleNormal="90" zoomScaleSheetLayoutView="80" zoomScalePageLayoutView="80" workbookViewId="0">
      <selection activeCell="T34" sqref="T34:U34"/>
    </sheetView>
  </sheetViews>
  <sheetFormatPr baseColWidth="10" defaultColWidth="8.83203125" defaultRowHeight="15" x14ac:dyDescent="0.2"/>
  <cols>
    <col min="1" max="1" width="27.1640625" customWidth="1"/>
    <col min="2" max="2" width="11.5" customWidth="1"/>
    <col min="3" max="3" width="10.33203125" customWidth="1"/>
    <col min="4" max="4" width="8.6640625" customWidth="1"/>
    <col min="5" max="5" width="12.1640625" customWidth="1"/>
    <col min="6" max="6" width="8.5" customWidth="1"/>
    <col min="7" max="7" width="6.6640625" hidden="1" customWidth="1"/>
    <col min="8" max="8" width="8.6640625" customWidth="1"/>
    <col min="9" max="9" width="25.6640625" customWidth="1"/>
    <col min="10" max="10" width="14.5" customWidth="1"/>
    <col min="11" max="11" width="16" customWidth="1"/>
    <col min="12" max="12" width="9.33203125" bestFit="1" customWidth="1"/>
    <col min="13" max="13" width="6.5" customWidth="1"/>
  </cols>
  <sheetData>
    <row r="1" spans="1:29" ht="20" thickTop="1" x14ac:dyDescent="0.25">
      <c r="A1" s="61" t="s">
        <v>96</v>
      </c>
      <c r="B1" s="62"/>
      <c r="C1" s="62"/>
      <c r="D1" s="62"/>
      <c r="E1" s="62"/>
      <c r="F1" s="63"/>
      <c r="G1" s="62"/>
      <c r="H1" s="64"/>
      <c r="I1" s="62"/>
      <c r="J1" s="62"/>
      <c r="K1" s="62"/>
      <c r="L1" s="62"/>
      <c r="M1" s="63"/>
      <c r="N1" s="64"/>
      <c r="O1" s="62"/>
      <c r="P1" s="62"/>
      <c r="Q1" s="62"/>
      <c r="R1" s="62"/>
      <c r="S1" s="62"/>
      <c r="T1" s="62"/>
      <c r="U1" s="63"/>
      <c r="V1" s="250"/>
      <c r="W1" s="251"/>
      <c r="X1" s="251"/>
      <c r="Y1" s="251"/>
      <c r="Z1" s="251"/>
      <c r="AA1" s="251"/>
      <c r="AB1" s="251"/>
      <c r="AC1" s="252"/>
    </row>
    <row r="2" spans="1:29" ht="20" thickBot="1" x14ac:dyDescent="0.3">
      <c r="A2" s="65"/>
      <c r="B2" s="66"/>
      <c r="C2" s="66"/>
      <c r="D2" s="66"/>
      <c r="E2" s="66"/>
      <c r="F2" s="67"/>
      <c r="G2" s="66"/>
      <c r="H2" s="68" t="s">
        <v>85</v>
      </c>
      <c r="I2" s="69"/>
      <c r="J2" s="50"/>
      <c r="K2" s="70"/>
      <c r="L2" s="46"/>
      <c r="M2" s="71"/>
      <c r="N2" s="68" t="s">
        <v>112</v>
      </c>
      <c r="O2" s="72"/>
      <c r="P2" s="72"/>
      <c r="Q2" s="46"/>
      <c r="R2" s="46"/>
      <c r="S2" s="46"/>
      <c r="T2" s="46"/>
      <c r="U2" s="71"/>
      <c r="V2" s="253" t="s">
        <v>146</v>
      </c>
      <c r="W2" s="254"/>
      <c r="X2" s="254"/>
      <c r="Y2" s="10"/>
      <c r="Z2" s="10"/>
      <c r="AA2" s="10"/>
      <c r="AB2" s="10"/>
      <c r="AC2" s="255"/>
    </row>
    <row r="3" spans="1:29" ht="19" x14ac:dyDescent="0.25">
      <c r="A3" s="73" t="s">
        <v>97</v>
      </c>
      <c r="B3" s="46"/>
      <c r="C3" s="46"/>
      <c r="D3" s="46"/>
      <c r="E3" s="46"/>
      <c r="F3" s="71"/>
      <c r="G3" s="46"/>
      <c r="H3" s="321" t="s">
        <v>140</v>
      </c>
      <c r="I3" s="322"/>
      <c r="J3" s="322"/>
      <c r="K3" s="322"/>
      <c r="L3" s="323"/>
      <c r="M3" s="71"/>
      <c r="N3" s="315" t="s">
        <v>26</v>
      </c>
      <c r="O3" s="316"/>
      <c r="P3" s="316"/>
      <c r="Q3" s="227" t="s">
        <v>42</v>
      </c>
      <c r="R3" s="227" t="s">
        <v>80</v>
      </c>
      <c r="S3" s="227" t="s">
        <v>71</v>
      </c>
      <c r="T3" s="46"/>
      <c r="U3" s="71"/>
      <c r="V3" s="330" t="s">
        <v>26</v>
      </c>
      <c r="W3" s="331"/>
      <c r="X3" s="331"/>
      <c r="Y3" s="242" t="s">
        <v>161</v>
      </c>
      <c r="Z3" s="242"/>
      <c r="AA3" s="242" t="s">
        <v>162</v>
      </c>
      <c r="AB3" s="242"/>
      <c r="AC3" s="255"/>
    </row>
    <row r="4" spans="1:29" ht="15" customHeight="1" x14ac:dyDescent="0.2">
      <c r="A4" s="65"/>
      <c r="B4" s="46"/>
      <c r="C4" s="46"/>
      <c r="D4" s="46"/>
      <c r="E4" s="46"/>
      <c r="F4" s="71"/>
      <c r="G4" s="46"/>
      <c r="H4" s="74" t="s">
        <v>52</v>
      </c>
      <c r="I4" s="46"/>
      <c r="J4" s="51"/>
      <c r="K4" s="75"/>
      <c r="L4" s="46"/>
      <c r="M4" s="71"/>
      <c r="N4" s="317" t="str">
        <f>CALCULATIONS!AB3</f>
        <v>T. sericea</v>
      </c>
      <c r="O4" s="318"/>
      <c r="P4" s="318"/>
      <c r="Q4" s="39" t="str">
        <f>IF('GENERAL INFORMATION'!$C$8=0,"...",IF('GENERAL INFORMATION'!$E$8=0,"...",CALCULATIONS!AD3))</f>
        <v>...</v>
      </c>
      <c r="R4" s="39" t="str">
        <f>IF('GENERAL INFORMATION'!$C$8=0,"...",IF('GENERAL INFORMATION'!E$8=0,"...",CALCULATIONS!AF3))</f>
        <v>...</v>
      </c>
      <c r="S4" s="226" t="str">
        <f>IF('GENERAL INFORMATION'!$C$8=0,"...",IF('GENERAL INFORMATION'!$E$8=0,"...",CALCULATIONS!AH3))</f>
        <v>...</v>
      </c>
      <c r="T4" s="46"/>
      <c r="U4" s="71"/>
      <c r="V4" s="319" t="str">
        <f>N4</f>
        <v>T. sericea</v>
      </c>
      <c r="W4" s="320"/>
      <c r="X4" s="320"/>
      <c r="Y4" s="260" t="str">
        <f>IF('GENERAL INFORMATION'!$C$8=0,"...",IF('GENERAL INFORMATION'!$E$8=0,"...",CALCULATIONS!AK3))</f>
        <v>...</v>
      </c>
      <c r="Z4" s="261"/>
      <c r="AA4" s="260" t="str">
        <f>IF('GENERAL INFORMATION'!$C$8=0,"...",IF('GENERAL INFORMATION'!$E$8=0,"...",CALCULATIONS!AM3))</f>
        <v>...</v>
      </c>
      <c r="AB4" s="10"/>
      <c r="AC4" s="255"/>
    </row>
    <row r="5" spans="1:29" x14ac:dyDescent="0.2">
      <c r="A5" s="76" t="str">
        <f>IF(C5&lt;1,"Please enter transect size",IF(E5&lt;1,"Please enter width as well","Transect dimensions"))</f>
        <v>Please enter transect size</v>
      </c>
      <c r="B5" s="77" t="s">
        <v>22</v>
      </c>
      <c r="C5" s="42">
        <f>'GENERAL INFORMATION'!C11</f>
        <v>0</v>
      </c>
      <c r="D5" s="77" t="s">
        <v>16</v>
      </c>
      <c r="E5" s="43">
        <f>'GENERAL INFORMATION'!E11</f>
        <v>0</v>
      </c>
      <c r="F5" s="71"/>
      <c r="G5" s="46"/>
      <c r="H5" s="65"/>
      <c r="I5" s="78" t="s">
        <v>45</v>
      </c>
      <c r="J5" s="46"/>
      <c r="K5" s="46"/>
      <c r="L5" s="46"/>
      <c r="M5" s="71"/>
      <c r="N5" s="297" t="str">
        <f>CALCULATIONS!AB4</f>
        <v>V. reficience</v>
      </c>
      <c r="O5" s="298"/>
      <c r="P5" s="298"/>
      <c r="Q5" s="39" t="str">
        <f>IF('GENERAL INFORMATION'!$C$8=0,"...",IF('GENERAL INFORMATION'!$E$8=0,"...",CALCULATIONS!AD4))</f>
        <v>...</v>
      </c>
      <c r="R5" s="39" t="str">
        <f>IF('GENERAL INFORMATION'!$C$8=0,"...",IF('GENERAL INFORMATION'!E$8=0,"...",CALCULATIONS!AF4))</f>
        <v>...</v>
      </c>
      <c r="S5" s="226" t="str">
        <f>IF('GENERAL INFORMATION'!$C$8=0,"...",IF('GENERAL INFORMATION'!$E$8=0,"...",CALCULATIONS!AH4))</f>
        <v>...</v>
      </c>
      <c r="T5" s="46"/>
      <c r="U5" s="71"/>
      <c r="V5" s="319" t="str">
        <f t="shared" ref="V5:V38" si="0">N5</f>
        <v>V. reficience</v>
      </c>
      <c r="W5" s="320"/>
      <c r="X5" s="320"/>
      <c r="Y5" s="260" t="str">
        <f>IF('GENERAL INFORMATION'!$C$8=0,"...",IF('GENERAL INFORMATION'!$E$8=0,"...",CALCULATIONS!AK4))</f>
        <v>...</v>
      </c>
      <c r="Z5" s="261"/>
      <c r="AA5" s="260" t="str">
        <f>IF('GENERAL INFORMATION'!$C$8=0,"...",IF('GENERAL INFORMATION'!$E$8=0,"...",CALCULATIONS!AM4))</f>
        <v>...</v>
      </c>
      <c r="AB5" s="10"/>
      <c r="AC5" s="255"/>
    </row>
    <row r="6" spans="1:29" ht="16" x14ac:dyDescent="0.2">
      <c r="A6" s="79"/>
      <c r="B6" s="80" t="b">
        <f>IF(C6&gt;0,"Alternative area")</f>
        <v>0</v>
      </c>
      <c r="C6" s="123">
        <f>'GENERAL INFORMATION'!$C$12</f>
        <v>0</v>
      </c>
      <c r="D6" s="210" t="b">
        <f>IF(AND(C6&gt;0,C5&gt;0),"Error - Dual area filled")</f>
        <v>0</v>
      </c>
      <c r="E6" s="70"/>
      <c r="F6" s="71"/>
      <c r="G6" s="46"/>
      <c r="H6" s="65"/>
      <c r="I6" s="46" t="s">
        <v>51</v>
      </c>
      <c r="J6" s="81">
        <v>38.9</v>
      </c>
      <c r="K6" s="82" t="s">
        <v>50</v>
      </c>
      <c r="L6" s="46"/>
      <c r="M6" s="71"/>
      <c r="N6" s="297" t="str">
        <f>CALCULATIONS!AB5</f>
        <v>S. mellifera</v>
      </c>
      <c r="O6" s="298"/>
      <c r="P6" s="298"/>
      <c r="Q6" s="39" t="str">
        <f>IF('GENERAL INFORMATION'!$C$8=0,"...",IF('GENERAL INFORMATION'!$E$8=0,"...",CALCULATIONS!AD5))</f>
        <v>...</v>
      </c>
      <c r="R6" s="39" t="str">
        <f>IF('GENERAL INFORMATION'!$C$8=0,"...",IF('GENERAL INFORMATION'!E$8=0,"...",CALCULATIONS!AF5))</f>
        <v>...</v>
      </c>
      <c r="S6" s="226" t="str">
        <f>IF('GENERAL INFORMATION'!$C$8=0,"...",IF('GENERAL INFORMATION'!$E$8=0,"...",CALCULATIONS!AH5))</f>
        <v>...</v>
      </c>
      <c r="T6" s="46"/>
      <c r="U6" s="71"/>
      <c r="V6" s="319" t="str">
        <f t="shared" si="0"/>
        <v>S. mellifera</v>
      </c>
      <c r="W6" s="320"/>
      <c r="X6" s="320"/>
      <c r="Y6" s="260" t="str">
        <f>IF('GENERAL INFORMATION'!$C$8=0,"...",IF('GENERAL INFORMATION'!$E$8=0,"...",CALCULATIONS!AK5))</f>
        <v>...</v>
      </c>
      <c r="Z6" s="261"/>
      <c r="AA6" s="260" t="str">
        <f>IF('GENERAL INFORMATION'!$C$8=0,"...",IF('GENERAL INFORMATION'!$E$8=0,"...",CALCULATIONS!AM5))</f>
        <v>...</v>
      </c>
      <c r="AB6" s="10"/>
      <c r="AC6" s="255"/>
    </row>
    <row r="7" spans="1:29" x14ac:dyDescent="0.2">
      <c r="A7" s="83" t="s">
        <v>81</v>
      </c>
      <c r="B7" s="46"/>
      <c r="C7" s="46"/>
      <c r="D7" s="46"/>
      <c r="E7" s="46"/>
      <c r="F7" s="71"/>
      <c r="G7" s="46"/>
      <c r="H7" s="65"/>
      <c r="I7" s="46" t="s">
        <v>46</v>
      </c>
      <c r="J7" s="84">
        <v>28</v>
      </c>
      <c r="K7" s="78" t="s">
        <v>50</v>
      </c>
      <c r="L7" s="46"/>
      <c r="M7" s="71"/>
      <c r="N7" s="319" t="str">
        <f>CALCULATIONS!AB6</f>
        <v>Other(Microphyllous)</v>
      </c>
      <c r="O7" s="320"/>
      <c r="P7" s="320"/>
      <c r="Q7" s="39" t="str">
        <f>IF('GENERAL INFORMATION'!$C$8=0,"...",IF('GENERAL INFORMATION'!$E$8=0,"...",CALCULATIONS!AD6))</f>
        <v>...</v>
      </c>
      <c r="R7" s="39" t="str">
        <f>IF('GENERAL INFORMATION'!$C$8=0,"...",IF('GENERAL INFORMATION'!E$8=0,"...",CALCULATIONS!AF6))</f>
        <v>...</v>
      </c>
      <c r="S7" s="226" t="str">
        <f>IF('GENERAL INFORMATION'!$C$8=0,"...",IF('GENERAL INFORMATION'!$E$8=0,"...",CALCULATIONS!AH6))</f>
        <v>...</v>
      </c>
      <c r="T7" s="46"/>
      <c r="U7" s="71"/>
      <c r="V7" s="319" t="str">
        <f t="shared" si="0"/>
        <v>Other(Microphyllous)</v>
      </c>
      <c r="W7" s="320"/>
      <c r="X7" s="320"/>
      <c r="Y7" s="260" t="str">
        <f>IF('GENERAL INFORMATION'!$C$8=0,"...",IF('GENERAL INFORMATION'!$E$8=0,"...",CALCULATIONS!AK6))</f>
        <v>...</v>
      </c>
      <c r="Z7" s="261"/>
      <c r="AA7" s="260" t="str">
        <f>IF('GENERAL INFORMATION'!$C$8=0,"...",IF('GENERAL INFORMATION'!$E$8=0,"...",CALCULATIONS!AM6))</f>
        <v>...</v>
      </c>
      <c r="AB7" s="10"/>
      <c r="AC7" s="255"/>
    </row>
    <row r="8" spans="1:29" x14ac:dyDescent="0.2">
      <c r="A8" s="65" t="s">
        <v>14</v>
      </c>
      <c r="B8" s="325">
        <f>'GENERAL INFORMATION'!B3:F3</f>
        <v>0</v>
      </c>
      <c r="C8" s="324"/>
      <c r="D8" s="324"/>
      <c r="E8" s="324"/>
      <c r="F8" s="71"/>
      <c r="G8" s="46"/>
      <c r="H8" s="65"/>
      <c r="I8" s="85" t="s">
        <v>54</v>
      </c>
      <c r="J8" s="86">
        <v>33.450000000000003</v>
      </c>
      <c r="K8" s="78" t="s">
        <v>50</v>
      </c>
      <c r="L8" s="46"/>
      <c r="M8" s="71"/>
      <c r="N8" s="319" t="str">
        <f>CALCULATIONS!AB7</f>
        <v>Other(Broad-leaved)</v>
      </c>
      <c r="O8" s="320"/>
      <c r="P8" s="320"/>
      <c r="Q8" s="39" t="str">
        <f>IF('GENERAL INFORMATION'!$C$8=0,"...",IF('GENERAL INFORMATION'!$E$8=0,"...",CALCULATIONS!AD7))</f>
        <v>...</v>
      </c>
      <c r="R8" s="39" t="str">
        <f>IF('GENERAL INFORMATION'!$C$8=0,"...",IF('GENERAL INFORMATION'!E$8=0,"...",CALCULATIONS!AF7))</f>
        <v>...</v>
      </c>
      <c r="S8" s="226" t="str">
        <f>IF('GENERAL INFORMATION'!$C$8=0,"...",IF('GENERAL INFORMATION'!$E$8=0,"...",CALCULATIONS!AH7))</f>
        <v>...</v>
      </c>
      <c r="T8" s="46"/>
      <c r="U8" s="71"/>
      <c r="V8" s="319" t="str">
        <f t="shared" si="0"/>
        <v>Other(Broad-leaved)</v>
      </c>
      <c r="W8" s="320"/>
      <c r="X8" s="320"/>
      <c r="Y8" s="260" t="str">
        <f>IF('GENERAL INFORMATION'!$C$8=0,"...",IF('GENERAL INFORMATION'!$E$8=0,"...",CALCULATIONS!AK7))</f>
        <v>...</v>
      </c>
      <c r="Z8" s="261"/>
      <c r="AA8" s="260" t="str">
        <f>IF('GENERAL INFORMATION'!$C$8=0,"...",IF('GENERAL INFORMATION'!$E$8=0,"...",CALCULATIONS!AM7))</f>
        <v>...</v>
      </c>
      <c r="AB8" s="10"/>
      <c r="AC8" s="255"/>
    </row>
    <row r="9" spans="1:29" x14ac:dyDescent="0.2">
      <c r="A9" s="65"/>
      <c r="B9" s="46"/>
      <c r="C9" s="46"/>
      <c r="D9" s="46"/>
      <c r="E9" s="46"/>
      <c r="F9" s="71"/>
      <c r="G9" s="46"/>
      <c r="H9" s="65"/>
      <c r="I9" s="46"/>
      <c r="J9" s="46"/>
      <c r="K9" s="46"/>
      <c r="L9" s="46"/>
      <c r="M9" s="71"/>
      <c r="N9" s="297">
        <f>CALCULATIONS!AB8</f>
        <v>0</v>
      </c>
      <c r="O9" s="298"/>
      <c r="P9" s="298"/>
      <c r="Q9" s="39" t="str">
        <f>IF('GENERAL INFORMATION'!$C$8=0,"...",IF('GENERAL INFORMATION'!$E$8=0,"...",CALCULATIONS!AD8))</f>
        <v>...</v>
      </c>
      <c r="R9" s="39" t="str">
        <f>IF('GENERAL INFORMATION'!$C$8=0,"...",IF('GENERAL INFORMATION'!E$8=0,"...",CALCULATIONS!AF8))</f>
        <v>...</v>
      </c>
      <c r="S9" s="226" t="str">
        <f>IF('GENERAL INFORMATION'!$C$8=0,"...",IF('GENERAL INFORMATION'!$E$8=0,"...",CALCULATIONS!AH8))</f>
        <v>...</v>
      </c>
      <c r="T9" s="46"/>
      <c r="U9" s="71"/>
      <c r="V9" s="319">
        <f t="shared" si="0"/>
        <v>0</v>
      </c>
      <c r="W9" s="320"/>
      <c r="X9" s="320"/>
      <c r="Y9" s="260" t="str">
        <f>IF('GENERAL INFORMATION'!$C$8=0,"...",IF('GENERAL INFORMATION'!$E$8=0,"...",CALCULATIONS!AK8))</f>
        <v>...</v>
      </c>
      <c r="Z9" s="261"/>
      <c r="AA9" s="260" t="str">
        <f>IF('GENERAL INFORMATION'!$C$8=0,"...",IF('GENERAL INFORMATION'!$E$8=0,"...",CALCULATIONS!AM8))</f>
        <v>...</v>
      </c>
      <c r="AB9" s="10"/>
      <c r="AC9" s="255"/>
    </row>
    <row r="10" spans="1:29" x14ac:dyDescent="0.2">
      <c r="A10" s="65" t="s">
        <v>11</v>
      </c>
      <c r="B10" s="324">
        <f>'GENERAL INFORMATION'!B5:F5</f>
        <v>0</v>
      </c>
      <c r="C10" s="324"/>
      <c r="D10" s="324"/>
      <c r="E10" s="324"/>
      <c r="F10" s="71"/>
      <c r="G10" s="46"/>
      <c r="H10" s="87" t="s">
        <v>98</v>
      </c>
      <c r="I10" s="88"/>
      <c r="J10" s="169" t="str">
        <f>IF('GENERAL INFORMATION'!$C$8=0,"NO DATA",IF('GENERAL INFORMATION'!$E$8=0,"NO DATA",CALCULATIONS!T154))</f>
        <v>NO DATA</v>
      </c>
      <c r="K10" s="89" t="s">
        <v>100</v>
      </c>
      <c r="L10" s="46"/>
      <c r="M10" s="90"/>
      <c r="N10" s="297">
        <f>CALCULATIONS!AB9</f>
        <v>0</v>
      </c>
      <c r="O10" s="298"/>
      <c r="P10" s="298"/>
      <c r="Q10" s="39" t="str">
        <f>IF('GENERAL INFORMATION'!$C$8=0,"...",IF('GENERAL INFORMATION'!$E$8=0,"...",CALCULATIONS!AD9))</f>
        <v>...</v>
      </c>
      <c r="R10" s="39" t="str">
        <f>IF('GENERAL INFORMATION'!$C$8=0,"...",IF('GENERAL INFORMATION'!E$8=0,"...",CALCULATIONS!AF9))</f>
        <v>...</v>
      </c>
      <c r="S10" s="226" t="str">
        <f>IF('GENERAL INFORMATION'!$C$8=0,"...",IF('GENERAL INFORMATION'!$E$8=0,"...",CALCULATIONS!AH9))</f>
        <v>...</v>
      </c>
      <c r="T10" s="46"/>
      <c r="U10" s="71"/>
      <c r="V10" s="319">
        <f t="shared" si="0"/>
        <v>0</v>
      </c>
      <c r="W10" s="320"/>
      <c r="X10" s="320"/>
      <c r="Y10" s="260" t="str">
        <f>IF('GENERAL INFORMATION'!$C$8=0,"...",IF('GENERAL INFORMATION'!$E$8=0,"...",CALCULATIONS!AK9))</f>
        <v>...</v>
      </c>
      <c r="Z10" s="261"/>
      <c r="AA10" s="260" t="str">
        <f>IF('GENERAL INFORMATION'!$C$8=0,"...",IF('GENERAL INFORMATION'!$E$8=0,"...",CALCULATIONS!AM9))</f>
        <v>...</v>
      </c>
      <c r="AB10" s="10"/>
      <c r="AC10" s="255"/>
    </row>
    <row r="11" spans="1:29" x14ac:dyDescent="0.2">
      <c r="A11" s="65"/>
      <c r="B11" s="46"/>
      <c r="C11" s="46"/>
      <c r="D11" s="46"/>
      <c r="E11" s="46"/>
      <c r="F11" s="71"/>
      <c r="G11" s="46"/>
      <c r="H11" s="87" t="s">
        <v>119</v>
      </c>
      <c r="I11" s="46"/>
      <c r="J11" s="169" t="e">
        <f>(J10*E34)/1000</f>
        <v>#VALUE!</v>
      </c>
      <c r="K11" s="89" t="s">
        <v>123</v>
      </c>
      <c r="L11" s="46"/>
      <c r="M11" s="71"/>
      <c r="N11" s="297">
        <f>CALCULATIONS!AB10</f>
        <v>0</v>
      </c>
      <c r="O11" s="298"/>
      <c r="P11" s="298"/>
      <c r="Q11" s="39" t="str">
        <f>IF('GENERAL INFORMATION'!$C$8=0,"...",IF('GENERAL INFORMATION'!$E$8=0,"...",CALCULATIONS!AD10))</f>
        <v>...</v>
      </c>
      <c r="R11" s="39" t="str">
        <f>IF('GENERAL INFORMATION'!$C$8=0,"...",IF('GENERAL INFORMATION'!E$8=0,"...",CALCULATIONS!AF10))</f>
        <v>...</v>
      </c>
      <c r="S11" s="226" t="str">
        <f>IF('GENERAL INFORMATION'!$C$8=0,"...",IF('GENERAL INFORMATION'!$E$8=0,"...",CALCULATIONS!AH10))</f>
        <v>...</v>
      </c>
      <c r="T11" s="46"/>
      <c r="U11" s="71"/>
      <c r="V11" s="319">
        <f t="shared" si="0"/>
        <v>0</v>
      </c>
      <c r="W11" s="320"/>
      <c r="X11" s="320"/>
      <c r="Y11" s="260" t="str">
        <f>IF('GENERAL INFORMATION'!$C$8=0,"...",IF('GENERAL INFORMATION'!$E$8=0,"...",CALCULATIONS!AK10))</f>
        <v>...</v>
      </c>
      <c r="Z11" s="261"/>
      <c r="AA11" s="260" t="str">
        <f>IF('GENERAL INFORMATION'!$C$8=0,"...",IF('GENERAL INFORMATION'!$E$8=0,"...",CALCULATIONS!AM10))</f>
        <v>...</v>
      </c>
      <c r="AB11" s="10"/>
      <c r="AC11" s="255"/>
    </row>
    <row r="12" spans="1:29" ht="16" thickBot="1" x14ac:dyDescent="0.25">
      <c r="A12" s="65" t="s">
        <v>12</v>
      </c>
      <c r="B12" s="324">
        <f>'GENERAL INFORMATION'!B6:F6</f>
        <v>0</v>
      </c>
      <c r="C12" s="324"/>
      <c r="D12" s="324"/>
      <c r="E12" s="324"/>
      <c r="F12" s="71"/>
      <c r="G12" s="46"/>
      <c r="H12" s="65"/>
      <c r="I12" s="46"/>
      <c r="J12" s="221" t="str">
        <f>IF(J10="NO DATA","Please fill coordinates on General Information Tab","")</f>
        <v>Please fill coordinates on General Information Tab</v>
      </c>
      <c r="K12" s="220"/>
      <c r="L12" s="223"/>
      <c r="M12" s="222"/>
      <c r="N12" s="297">
        <f>CALCULATIONS!AB11</f>
        <v>0</v>
      </c>
      <c r="O12" s="298"/>
      <c r="P12" s="298"/>
      <c r="Q12" s="39" t="str">
        <f>IF('GENERAL INFORMATION'!$C$8=0,"...",IF('GENERAL INFORMATION'!$E$8=0,"...",CALCULATIONS!AD11))</f>
        <v>...</v>
      </c>
      <c r="R12" s="39" t="str">
        <f>IF('GENERAL INFORMATION'!$C$8=0,"...",IF('GENERAL INFORMATION'!E$8=0,"...",CALCULATIONS!AF11))</f>
        <v>...</v>
      </c>
      <c r="S12" s="226" t="str">
        <f>IF('GENERAL INFORMATION'!$C$8=0,"...",IF('GENERAL INFORMATION'!$E$8=0,"...",CALCULATIONS!AH11))</f>
        <v>...</v>
      </c>
      <c r="T12" s="46"/>
      <c r="U12" s="71"/>
      <c r="V12" s="319">
        <f t="shared" si="0"/>
        <v>0</v>
      </c>
      <c r="W12" s="320"/>
      <c r="X12" s="320"/>
      <c r="Y12" s="260" t="str">
        <f>IF('GENERAL INFORMATION'!$C$8=0,"...",IF('GENERAL INFORMATION'!$E$8=0,"...",CALCULATIONS!AK11))</f>
        <v>...</v>
      </c>
      <c r="Z12" s="261"/>
      <c r="AA12" s="260" t="str">
        <f>IF('GENERAL INFORMATION'!$C$8=0,"...",IF('GENERAL INFORMATION'!$E$8=0,"...",CALCULATIONS!AM11))</f>
        <v>...</v>
      </c>
      <c r="AB12" s="10"/>
      <c r="AC12" s="255"/>
    </row>
    <row r="13" spans="1:29" ht="15" customHeight="1" thickTop="1" x14ac:dyDescent="0.2">
      <c r="A13" s="65"/>
      <c r="B13" s="46"/>
      <c r="C13" s="46"/>
      <c r="D13" s="46"/>
      <c r="E13" s="46"/>
      <c r="F13" s="71"/>
      <c r="G13" s="46"/>
      <c r="H13" s="68" t="s">
        <v>86</v>
      </c>
      <c r="I13" s="69"/>
      <c r="J13" s="72"/>
      <c r="K13" s="46"/>
      <c r="L13" s="46"/>
      <c r="M13" s="71"/>
      <c r="N13" s="297">
        <f>CALCULATIONS!AB12</f>
        <v>0</v>
      </c>
      <c r="O13" s="298"/>
      <c r="P13" s="298"/>
      <c r="Q13" s="39" t="str">
        <f>IF('GENERAL INFORMATION'!$C$8=0,"...",IF('GENERAL INFORMATION'!$E$8=0,"...",CALCULATIONS!AD12))</f>
        <v>...</v>
      </c>
      <c r="R13" s="39" t="str">
        <f>IF('GENERAL INFORMATION'!$C$8=0,"...",IF('GENERAL INFORMATION'!E$8=0,"...",CALCULATIONS!AF12))</f>
        <v>...</v>
      </c>
      <c r="S13" s="226" t="str">
        <f>IF('GENERAL INFORMATION'!$C$8=0,"...",IF('GENERAL INFORMATION'!$E$8=0,"...",CALCULATIONS!AH12))</f>
        <v>...</v>
      </c>
      <c r="T13" s="46"/>
      <c r="U13" s="71"/>
      <c r="V13" s="319">
        <f t="shared" si="0"/>
        <v>0</v>
      </c>
      <c r="W13" s="320"/>
      <c r="X13" s="320"/>
      <c r="Y13" s="260" t="str">
        <f>IF('GENERAL INFORMATION'!$C$8=0,"...",IF('GENERAL INFORMATION'!$E$8=0,"...",CALCULATIONS!AK12))</f>
        <v>...</v>
      </c>
      <c r="Z13" s="261"/>
      <c r="AA13" s="260" t="str">
        <f>IF('GENERAL INFORMATION'!$C$8=0,"...",IF('GENERAL INFORMATION'!$E$8=0,"...",CALCULATIONS!AM12))</f>
        <v>...</v>
      </c>
      <c r="AB13" s="10"/>
      <c r="AC13" s="255"/>
    </row>
    <row r="14" spans="1:29" x14ac:dyDescent="0.2">
      <c r="A14" s="65" t="s">
        <v>13</v>
      </c>
      <c r="B14" s="216" t="str">
        <f>'GENERAL INFORMATION'!B8</f>
        <v>South / Y</v>
      </c>
      <c r="C14" s="37">
        <f>'GENERAL INFORMATION'!C8:C8</f>
        <v>0</v>
      </c>
      <c r="D14" s="80" t="str">
        <f>'GENERAL INFORMATION'!D8</f>
        <v>East / X</v>
      </c>
      <c r="E14" s="37">
        <f>'GENERAL INFORMATION'!E8:E8</f>
        <v>0</v>
      </c>
      <c r="F14" s="71"/>
      <c r="G14" s="92"/>
      <c r="H14" s="326" t="s">
        <v>78</v>
      </c>
      <c r="I14" s="327"/>
      <c r="J14" s="327"/>
      <c r="K14" s="327"/>
      <c r="L14" s="327"/>
      <c r="M14" s="71"/>
      <c r="N14" s="297">
        <f>CALCULATIONS!AB13</f>
        <v>0</v>
      </c>
      <c r="O14" s="298"/>
      <c r="P14" s="298"/>
      <c r="Q14" s="39" t="str">
        <f>IF('GENERAL INFORMATION'!$C$8=0,"...",IF('GENERAL INFORMATION'!$E$8=0,"...",CALCULATIONS!AD13))</f>
        <v>...</v>
      </c>
      <c r="R14" s="39" t="str">
        <f>IF('GENERAL INFORMATION'!$C$8=0,"...",IF('GENERAL INFORMATION'!E$8=0,"...",CALCULATIONS!AF13))</f>
        <v>...</v>
      </c>
      <c r="S14" s="226" t="str">
        <f>IF('GENERAL INFORMATION'!$C$8=0,"...",IF('GENERAL INFORMATION'!$E$8=0,"...",CALCULATIONS!AH13))</f>
        <v>...</v>
      </c>
      <c r="T14" s="46"/>
      <c r="U14" s="71"/>
      <c r="V14" s="319">
        <f t="shared" si="0"/>
        <v>0</v>
      </c>
      <c r="W14" s="320"/>
      <c r="X14" s="320"/>
      <c r="Y14" s="260" t="str">
        <f>IF('GENERAL INFORMATION'!$C$8=0,"...",IF('GENERAL INFORMATION'!$E$8=0,"...",CALCULATIONS!AK13))</f>
        <v>...</v>
      </c>
      <c r="Z14" s="261"/>
      <c r="AA14" s="260" t="str">
        <f>IF('GENERAL INFORMATION'!$C$8=0,"...",IF('GENERAL INFORMATION'!$E$8=0,"...",CALCULATIONS!AM13))</f>
        <v>...</v>
      </c>
      <c r="AB14" s="10"/>
      <c r="AC14" s="255"/>
    </row>
    <row r="15" spans="1:29" x14ac:dyDescent="0.2">
      <c r="A15" s="65"/>
      <c r="B15" s="80"/>
      <c r="C15" s="93"/>
      <c r="D15" s="93"/>
      <c r="E15" s="80"/>
      <c r="F15" s="94"/>
      <c r="G15" s="93"/>
      <c r="H15" s="326"/>
      <c r="I15" s="327"/>
      <c r="J15" s="327"/>
      <c r="K15" s="327"/>
      <c r="L15" s="327"/>
      <c r="M15" s="71"/>
      <c r="N15" s="297">
        <f>CALCULATIONS!AB14</f>
        <v>0</v>
      </c>
      <c r="O15" s="298"/>
      <c r="P15" s="298"/>
      <c r="Q15" s="39" t="str">
        <f>IF('GENERAL INFORMATION'!$C$8=0,"...",IF('GENERAL INFORMATION'!$E$8=0,"...",CALCULATIONS!AD14))</f>
        <v>...</v>
      </c>
      <c r="R15" s="39" t="str">
        <f>IF('GENERAL INFORMATION'!$C$8=0,"...",IF('GENERAL INFORMATION'!E$8=0,"...",CALCULATIONS!AF14))</f>
        <v>...</v>
      </c>
      <c r="S15" s="226" t="str">
        <f>IF('GENERAL INFORMATION'!$C$8=0,"...",IF('GENERAL INFORMATION'!$E$8=0,"...",CALCULATIONS!AH14))</f>
        <v>...</v>
      </c>
      <c r="T15" s="46"/>
      <c r="U15" s="71"/>
      <c r="V15" s="319">
        <f t="shared" si="0"/>
        <v>0</v>
      </c>
      <c r="W15" s="320"/>
      <c r="X15" s="320"/>
      <c r="Y15" s="260" t="str">
        <f>IF('GENERAL INFORMATION'!$C$8=0,"...",IF('GENERAL INFORMATION'!$E$8=0,"...",CALCULATIONS!AK14))</f>
        <v>...</v>
      </c>
      <c r="Z15" s="261"/>
      <c r="AA15" s="260" t="str">
        <f>IF('GENERAL INFORMATION'!$C$8=0,"...",IF('GENERAL INFORMATION'!$E$8=0,"...",CALCULATIONS!AM14))</f>
        <v>...</v>
      </c>
      <c r="AB15" s="10"/>
      <c r="AC15" s="255"/>
    </row>
    <row r="16" spans="1:29" x14ac:dyDescent="0.2">
      <c r="A16" s="65" t="s">
        <v>15</v>
      </c>
      <c r="B16" s="324">
        <f>'GENERAL INFORMATION'!B4:F4</f>
        <v>0</v>
      </c>
      <c r="C16" s="324"/>
      <c r="D16" s="324"/>
      <c r="E16" s="324"/>
      <c r="F16" s="71"/>
      <c r="G16" s="46"/>
      <c r="H16" s="65"/>
      <c r="I16" s="46"/>
      <c r="J16" s="46"/>
      <c r="K16" s="46"/>
      <c r="L16" s="46"/>
      <c r="M16" s="71"/>
      <c r="N16" s="297">
        <f>CALCULATIONS!AB15</f>
        <v>0</v>
      </c>
      <c r="O16" s="298"/>
      <c r="P16" s="298"/>
      <c r="Q16" s="39" t="str">
        <f>IF('GENERAL INFORMATION'!$C$8=0,"...",IF('GENERAL INFORMATION'!$E$8=0,"...",CALCULATIONS!AD15))</f>
        <v>...</v>
      </c>
      <c r="R16" s="39" t="str">
        <f>IF('GENERAL INFORMATION'!$C$8=0,"...",IF('GENERAL INFORMATION'!E$8=0,"...",CALCULATIONS!AF15))</f>
        <v>...</v>
      </c>
      <c r="S16" s="226" t="str">
        <f>IF('GENERAL INFORMATION'!$C$8=0,"...",IF('GENERAL INFORMATION'!$E$8=0,"...",CALCULATIONS!AH15))</f>
        <v>...</v>
      </c>
      <c r="T16" s="46"/>
      <c r="U16" s="71"/>
      <c r="V16" s="319">
        <f t="shared" si="0"/>
        <v>0</v>
      </c>
      <c r="W16" s="320"/>
      <c r="X16" s="320"/>
      <c r="Y16" s="260" t="str">
        <f>IF('GENERAL INFORMATION'!$C$8=0,"...",IF('GENERAL INFORMATION'!$E$8=0,"...",CALCULATIONS!AK15))</f>
        <v>...</v>
      </c>
      <c r="Z16" s="261"/>
      <c r="AA16" s="260" t="str">
        <f>IF('GENERAL INFORMATION'!$C$8=0,"...",IF('GENERAL INFORMATION'!$E$8=0,"...",CALCULATIONS!AM15))</f>
        <v>...</v>
      </c>
      <c r="AB16" s="10"/>
      <c r="AC16" s="255"/>
    </row>
    <row r="17" spans="1:29" ht="15" customHeight="1" x14ac:dyDescent="0.2">
      <c r="A17" s="65"/>
      <c r="B17" s="46"/>
      <c r="C17" s="46"/>
      <c r="D17" s="46"/>
      <c r="E17" s="46"/>
      <c r="F17" s="71"/>
      <c r="G17" s="46"/>
      <c r="H17" s="95" t="s">
        <v>90</v>
      </c>
      <c r="I17" s="96"/>
      <c r="J17" s="96"/>
      <c r="K17" s="96"/>
      <c r="L17" s="96"/>
      <c r="M17" s="71"/>
      <c r="N17" s="297">
        <f>CALCULATIONS!AB16</f>
        <v>0</v>
      </c>
      <c r="O17" s="298"/>
      <c r="P17" s="298"/>
      <c r="Q17" s="39" t="str">
        <f>IF('GENERAL INFORMATION'!$C$8=0,"...",IF('GENERAL INFORMATION'!$E$8=0,"...",CALCULATIONS!AD16))</f>
        <v>...</v>
      </c>
      <c r="R17" s="39" t="str">
        <f>IF('GENERAL INFORMATION'!$C$8=0,"...",IF('GENERAL INFORMATION'!E$8=0,"...",CALCULATIONS!AF16))</f>
        <v>...</v>
      </c>
      <c r="S17" s="226" t="str">
        <f>IF('GENERAL INFORMATION'!$C$8=0,"...",IF('GENERAL INFORMATION'!$E$8=0,"...",CALCULATIONS!AH16))</f>
        <v>...</v>
      </c>
      <c r="T17" s="46"/>
      <c r="U17" s="71"/>
      <c r="V17" s="319">
        <f t="shared" si="0"/>
        <v>0</v>
      </c>
      <c r="W17" s="320"/>
      <c r="X17" s="320"/>
      <c r="Y17" s="260" t="str">
        <f>IF('GENERAL INFORMATION'!$C$8=0,"...",IF('GENERAL INFORMATION'!$E$8=0,"...",CALCULATIONS!AK16))</f>
        <v>...</v>
      </c>
      <c r="Z17" s="261"/>
      <c r="AA17" s="260" t="str">
        <f>IF('GENERAL INFORMATION'!$C$8=0,"...",IF('GENERAL INFORMATION'!$E$8=0,"...",CALCULATIONS!AM16))</f>
        <v>...</v>
      </c>
      <c r="AB17" s="10"/>
      <c r="AC17" s="255"/>
    </row>
    <row r="18" spans="1:29" x14ac:dyDescent="0.2">
      <c r="A18" s="97" t="s">
        <v>21</v>
      </c>
      <c r="B18" s="98"/>
      <c r="C18" s="38">
        <f>IF(AND(C5&gt;0,C6&gt;0),"ERROR",IF(C6&gt;0,C6,IF(C6=0,C5*E5)))</f>
        <v>0</v>
      </c>
      <c r="D18" s="99" t="s">
        <v>57</v>
      </c>
      <c r="E18" s="98"/>
      <c r="F18" s="71"/>
      <c r="G18" s="46"/>
      <c r="H18" s="65" t="s">
        <v>101</v>
      </c>
      <c r="I18" s="85"/>
      <c r="J18" s="47" t="e">
        <f>IF(B43="",J19,IF(B44="",I19,"0"))</f>
        <v>#VALUE!</v>
      </c>
      <c r="K18" s="100" t="s">
        <v>124</v>
      </c>
      <c r="L18" s="170" t="e">
        <f>(J18*E34)/1000</f>
        <v>#VALUE!</v>
      </c>
      <c r="M18" s="101" t="s">
        <v>121</v>
      </c>
      <c r="N18" s="297">
        <f>CALCULATIONS!AB17</f>
        <v>0</v>
      </c>
      <c r="O18" s="298"/>
      <c r="P18" s="298"/>
      <c r="Q18" s="39" t="str">
        <f>IF('GENERAL INFORMATION'!$C$8=0,"...",IF('GENERAL INFORMATION'!$E$8=0,"...",CALCULATIONS!AD17))</f>
        <v>...</v>
      </c>
      <c r="R18" s="39" t="str">
        <f>IF('GENERAL INFORMATION'!$C$8=0,"...",IF('GENERAL INFORMATION'!E$8=0,"...",CALCULATIONS!AF17))</f>
        <v>...</v>
      </c>
      <c r="S18" s="226" t="str">
        <f>IF('GENERAL INFORMATION'!$C$8=0,"...",IF('GENERAL INFORMATION'!$E$8=0,"...",CALCULATIONS!AH17))</f>
        <v>...</v>
      </c>
      <c r="T18" s="46"/>
      <c r="U18" s="71"/>
      <c r="V18" s="319">
        <f t="shared" si="0"/>
        <v>0</v>
      </c>
      <c r="W18" s="320"/>
      <c r="X18" s="320"/>
      <c r="Y18" s="260" t="str">
        <f>IF('GENERAL INFORMATION'!$C$8=0,"...",IF('GENERAL INFORMATION'!$E$8=0,"...",CALCULATIONS!AK17))</f>
        <v>...</v>
      </c>
      <c r="Z18" s="261"/>
      <c r="AA18" s="260" t="str">
        <f>IF('GENERAL INFORMATION'!$C$8=0,"...",IF('GENERAL INFORMATION'!$E$8=0,"...",CALCULATIONS!AM17))</f>
        <v>...</v>
      </c>
      <c r="AB18" s="10"/>
      <c r="AC18" s="255"/>
    </row>
    <row r="19" spans="1:29" ht="16" thickBot="1" x14ac:dyDescent="0.25">
      <c r="A19" s="65"/>
      <c r="B19" s="46"/>
      <c r="C19" s="46"/>
      <c r="D19" s="46"/>
      <c r="E19" s="78"/>
      <c r="F19" s="101"/>
      <c r="G19" s="46"/>
      <c r="H19" s="65"/>
      <c r="I19" s="44" t="e">
        <f>IF((B42*B43)&gt;0,((D28-(B42*B43))*J10)/D28,0)</f>
        <v>#VALUE!</v>
      </c>
      <c r="J19" s="44" t="e">
        <f>IF((B42*B44)&gt;0,((C28-(B42*B44))*J10)/C28,0)</f>
        <v>#VALUE!</v>
      </c>
      <c r="K19" s="46"/>
      <c r="L19" s="46"/>
      <c r="M19" s="71"/>
      <c r="N19" s="297">
        <f>CALCULATIONS!AB18</f>
        <v>0</v>
      </c>
      <c r="O19" s="298"/>
      <c r="P19" s="298"/>
      <c r="Q19" s="39" t="str">
        <f>IF('GENERAL INFORMATION'!$C$8=0,"...",IF('GENERAL INFORMATION'!$E$8=0,"...",CALCULATIONS!AD18))</f>
        <v>...</v>
      </c>
      <c r="R19" s="39" t="str">
        <f>IF('GENERAL INFORMATION'!$C$8=0,"...",IF('GENERAL INFORMATION'!E$8=0,"...",CALCULATIONS!AF18))</f>
        <v>...</v>
      </c>
      <c r="S19" s="226" t="str">
        <f>IF('GENERAL INFORMATION'!$C$8=0,"...",IF('GENERAL INFORMATION'!$E$8=0,"...",CALCULATIONS!AH18))</f>
        <v>...</v>
      </c>
      <c r="T19" s="46"/>
      <c r="U19" s="71"/>
      <c r="V19" s="319">
        <f t="shared" si="0"/>
        <v>0</v>
      </c>
      <c r="W19" s="320"/>
      <c r="X19" s="320"/>
      <c r="Y19" s="260" t="str">
        <f>IF('GENERAL INFORMATION'!$C$8=0,"...",IF('GENERAL INFORMATION'!$E$8=0,"...",CALCULATIONS!AK18))</f>
        <v>...</v>
      </c>
      <c r="Z19" s="261"/>
      <c r="AA19" s="260" t="str">
        <f>IF('GENERAL INFORMATION'!$C$8=0,"...",IF('GENERAL INFORMATION'!$E$8=0,"...",CALCULATIONS!AM18))</f>
        <v>...</v>
      </c>
      <c r="AB19" s="10"/>
      <c r="AC19" s="255"/>
    </row>
    <row r="20" spans="1:29" ht="16" thickTop="1" x14ac:dyDescent="0.2">
      <c r="A20" s="68" t="s">
        <v>82</v>
      </c>
      <c r="B20" s="46"/>
      <c r="C20" s="46"/>
      <c r="D20" s="46"/>
      <c r="E20" s="46"/>
      <c r="F20" s="71"/>
      <c r="G20" s="46"/>
      <c r="H20" s="65"/>
      <c r="I20" s="46"/>
      <c r="J20" s="46"/>
      <c r="K20" s="46"/>
      <c r="L20" s="46"/>
      <c r="M20" s="71"/>
      <c r="N20" s="297">
        <f>CALCULATIONS!AB19</f>
        <v>0</v>
      </c>
      <c r="O20" s="298"/>
      <c r="P20" s="298"/>
      <c r="Q20" s="39" t="str">
        <f>IF('GENERAL INFORMATION'!$C$8=0,"...",IF('GENERAL INFORMATION'!$E$8=0,"...",CALCULATIONS!AD19))</f>
        <v>...</v>
      </c>
      <c r="R20" s="39" t="str">
        <f>IF('GENERAL INFORMATION'!$C$8=0,"...",IF('GENERAL INFORMATION'!E$8=0,"...",CALCULATIONS!AF19))</f>
        <v>...</v>
      </c>
      <c r="S20" s="226" t="str">
        <f>IF('GENERAL INFORMATION'!$C$8=0,"...",IF('GENERAL INFORMATION'!$E$8=0,"...",CALCULATIONS!AH19))</f>
        <v>...</v>
      </c>
      <c r="T20" s="46"/>
      <c r="U20" s="71"/>
      <c r="V20" s="319">
        <f t="shared" si="0"/>
        <v>0</v>
      </c>
      <c r="W20" s="320"/>
      <c r="X20" s="320"/>
      <c r="Y20" s="260" t="str">
        <f>IF('GENERAL INFORMATION'!$C$8=0,"...",IF('GENERAL INFORMATION'!$E$8=0,"...",CALCULATIONS!AK19))</f>
        <v>...</v>
      </c>
      <c r="Z20" s="261"/>
      <c r="AA20" s="260" t="str">
        <f>IF('GENERAL INFORMATION'!$C$8=0,"...",IF('GENERAL INFORMATION'!$E$8=0,"...",CALCULATIONS!AM19))</f>
        <v>...</v>
      </c>
      <c r="AB20" s="10"/>
      <c r="AC20" s="255"/>
    </row>
    <row r="21" spans="1:29" ht="16" x14ac:dyDescent="0.2">
      <c r="A21" s="102"/>
      <c r="B21" s="103"/>
      <c r="C21" s="49"/>
      <c r="D21" s="46"/>
      <c r="E21" s="46"/>
      <c r="F21" s="71"/>
      <c r="G21" s="46"/>
      <c r="H21" s="68" t="s">
        <v>87</v>
      </c>
      <c r="I21" s="69"/>
      <c r="J21" s="72"/>
      <c r="K21" s="104" t="s">
        <v>48</v>
      </c>
      <c r="L21" s="46"/>
      <c r="M21" s="71"/>
      <c r="N21" s="297">
        <f>CALCULATIONS!AB20</f>
        <v>0</v>
      </c>
      <c r="O21" s="298"/>
      <c r="P21" s="298"/>
      <c r="Q21" s="39" t="str">
        <f>IF('GENERAL INFORMATION'!$C$8=0,"...",IF('GENERAL INFORMATION'!$E$8=0,"...",CALCULATIONS!AD20))</f>
        <v>...</v>
      </c>
      <c r="R21" s="39" t="str">
        <f>IF('GENERAL INFORMATION'!$C$8=0,"...",IF('GENERAL INFORMATION'!E$8=0,"...",CALCULATIONS!AF20))</f>
        <v>...</v>
      </c>
      <c r="S21" s="226" t="str">
        <f>IF('GENERAL INFORMATION'!$C$8=0,"...",IF('GENERAL INFORMATION'!$E$8=0,"...",CALCULATIONS!AH20))</f>
        <v>...</v>
      </c>
      <c r="T21" s="46"/>
      <c r="U21" s="71"/>
      <c r="V21" s="319">
        <f t="shared" si="0"/>
        <v>0</v>
      </c>
      <c r="W21" s="320"/>
      <c r="X21" s="320"/>
      <c r="Y21" s="260" t="str">
        <f>IF('GENERAL INFORMATION'!$C$8=0,"...",IF('GENERAL INFORMATION'!$E$8=0,"...",CALCULATIONS!AK20))</f>
        <v>...</v>
      </c>
      <c r="Z21" s="261"/>
      <c r="AA21" s="260" t="str">
        <f>IF('GENERAL INFORMATION'!$C$8=0,"...",IF('GENERAL INFORMATION'!$E$8=0,"...",CALCULATIONS!AM20))</f>
        <v>...</v>
      </c>
      <c r="AB21" s="10"/>
      <c r="AC21" s="255"/>
    </row>
    <row r="22" spans="1:29" ht="16" thickBot="1" x14ac:dyDescent="0.25">
      <c r="A22" s="105" t="s">
        <v>26</v>
      </c>
      <c r="B22" s="106" t="s">
        <v>42</v>
      </c>
      <c r="C22" s="107" t="s">
        <v>80</v>
      </c>
      <c r="D22" s="108" t="s">
        <v>71</v>
      </c>
      <c r="E22" s="46"/>
      <c r="F22" s="71"/>
      <c r="G22" s="46"/>
      <c r="H22" s="109" t="s">
        <v>104</v>
      </c>
      <c r="I22" s="110"/>
      <c r="J22" s="110"/>
      <c r="K22" s="111"/>
      <c r="L22" s="46"/>
      <c r="M22" s="71"/>
      <c r="N22" s="297">
        <f>CALCULATIONS!AB21</f>
        <v>0</v>
      </c>
      <c r="O22" s="298"/>
      <c r="P22" s="298"/>
      <c r="Q22" s="39" t="str">
        <f>IF('GENERAL INFORMATION'!$C$8=0,"...",IF('GENERAL INFORMATION'!$E$8=0,"...",CALCULATIONS!AD21))</f>
        <v>...</v>
      </c>
      <c r="R22" s="39" t="str">
        <f>IF('GENERAL INFORMATION'!$C$8=0,"...",IF('GENERAL INFORMATION'!E$8=0,"...",CALCULATIONS!AF21))</f>
        <v>...</v>
      </c>
      <c r="S22" s="226" t="str">
        <f>IF('GENERAL INFORMATION'!$C$8=0,"...",IF('GENERAL INFORMATION'!$E$8=0,"...",CALCULATIONS!AH21))</f>
        <v>...</v>
      </c>
      <c r="T22" s="46"/>
      <c r="U22" s="71"/>
      <c r="V22" s="319">
        <f t="shared" si="0"/>
        <v>0</v>
      </c>
      <c r="W22" s="320"/>
      <c r="X22" s="320"/>
      <c r="Y22" s="260" t="str">
        <f>IF('GENERAL INFORMATION'!$C$8=0,"...",IF('GENERAL INFORMATION'!$E$8=0,"...",CALCULATIONS!AK21))</f>
        <v>...</v>
      </c>
      <c r="Z22" s="261"/>
      <c r="AA22" s="260" t="str">
        <f>IF('GENERAL INFORMATION'!$C$8=0,"...",IF('GENERAL INFORMATION'!$E$8=0,"...",CALCULATIONS!AM21))</f>
        <v>...</v>
      </c>
      <c r="AB22" s="10"/>
      <c r="AC22" s="255"/>
    </row>
    <row r="23" spans="1:29" ht="16" thickTop="1" x14ac:dyDescent="0.2">
      <c r="A23" s="112" t="str">
        <f>CALCULATIONS!AB3</f>
        <v>T. sericea</v>
      </c>
      <c r="B23" s="39" t="str">
        <f>IF('GENERAL INFORMATION'!$C$8=0,"...",IF('GENERAL INFORMATION'!$E$8=0,"...",CALCULATIONS!V4))</f>
        <v>...</v>
      </c>
      <c r="C23" s="40" t="str">
        <f>IF('GENERAL INFORMATION'!$C$8=0,"...",IF('GENERAL INFORMATION'!$E$8=0,"...",CALCULATIONS!V8))</f>
        <v>...</v>
      </c>
      <c r="D23" s="41" t="str">
        <f>IF('GENERAL INFORMATION'!$C$8=0,"...",IF('GENERAL INFORMATION'!$E$8=0,"...",CALCULATIONS!V12))</f>
        <v>...</v>
      </c>
      <c r="E23" s="46"/>
      <c r="F23" s="71"/>
      <c r="G23" s="46"/>
      <c r="H23" s="74"/>
      <c r="I23" s="78"/>
      <c r="J23" s="78"/>
      <c r="K23" s="46"/>
      <c r="L23" s="46"/>
      <c r="M23" s="71"/>
      <c r="N23" s="297">
        <f>CALCULATIONS!AB22</f>
        <v>0</v>
      </c>
      <c r="O23" s="298"/>
      <c r="P23" s="298"/>
      <c r="Q23" s="39" t="str">
        <f>IF('GENERAL INFORMATION'!$C$8=0,"...",IF('GENERAL INFORMATION'!$E$8=0,"...",CALCULATIONS!AD22))</f>
        <v>...</v>
      </c>
      <c r="R23" s="39" t="str">
        <f>IF('GENERAL INFORMATION'!$C$8=0,"...",IF('GENERAL INFORMATION'!E$8=0,"...",CALCULATIONS!AF22))</f>
        <v>...</v>
      </c>
      <c r="S23" s="226" t="str">
        <f>IF('GENERAL INFORMATION'!$C$8=0,"...",IF('GENERAL INFORMATION'!$E$8=0,"...",CALCULATIONS!AH22))</f>
        <v>...</v>
      </c>
      <c r="T23" s="46"/>
      <c r="U23" s="71"/>
      <c r="V23" s="319">
        <f t="shared" si="0"/>
        <v>0</v>
      </c>
      <c r="W23" s="320"/>
      <c r="X23" s="320"/>
      <c r="Y23" s="260" t="str">
        <f>IF('GENERAL INFORMATION'!$C$8=0,"...",IF('GENERAL INFORMATION'!$E$8=0,"...",CALCULATIONS!AK22))</f>
        <v>...</v>
      </c>
      <c r="Z23" s="261"/>
      <c r="AA23" s="260" t="str">
        <f>IF('GENERAL INFORMATION'!$C$8=0,"...",IF('GENERAL INFORMATION'!$E$8=0,"...",CALCULATIONS!AM22))</f>
        <v>...</v>
      </c>
      <c r="AB23" s="10"/>
      <c r="AC23" s="255"/>
    </row>
    <row r="24" spans="1:29" ht="16" x14ac:dyDescent="0.2">
      <c r="A24" s="112" t="str">
        <f>CALCULATIONS!AB4</f>
        <v>V. reficience</v>
      </c>
      <c r="B24" s="39" t="str">
        <f>IF('GENERAL INFORMATION'!$C$8=0,"...",IF('GENERAL INFORMATION'!$E$8=0,"...",CALCULATIONS!X4))</f>
        <v>...</v>
      </c>
      <c r="C24" s="40" t="str">
        <f>IF('GENERAL INFORMATION'!$C$8=0,"...",IF('GENERAL INFORMATION'!$E$8=0,"...",CALCULATIONS!X8))</f>
        <v>...</v>
      </c>
      <c r="D24" s="41" t="str">
        <f>IF('GENERAL INFORMATION'!$C$8=0,"...",IF('GENERAL INFORMATION'!$E$8=0,"...",CALCULATIONS!X12))</f>
        <v>...</v>
      </c>
      <c r="E24" s="46"/>
      <c r="F24" s="71"/>
      <c r="G24" s="46"/>
      <c r="H24" s="65"/>
      <c r="I24" s="46"/>
      <c r="J24" s="46"/>
      <c r="K24" s="104" t="s">
        <v>48</v>
      </c>
      <c r="L24" s="46"/>
      <c r="M24" s="71"/>
      <c r="N24" s="297">
        <f>CALCULATIONS!AB23</f>
        <v>0</v>
      </c>
      <c r="O24" s="298"/>
      <c r="P24" s="298"/>
      <c r="Q24" s="39" t="str">
        <f>IF('GENERAL INFORMATION'!$C$8=0,"...",IF('GENERAL INFORMATION'!$E$8=0,"...",CALCULATIONS!AD23))</f>
        <v>...</v>
      </c>
      <c r="R24" s="39" t="str">
        <f>IF('GENERAL INFORMATION'!$C$8=0,"...",IF('GENERAL INFORMATION'!E$8=0,"...",CALCULATIONS!AF23))</f>
        <v>...</v>
      </c>
      <c r="S24" s="226" t="str">
        <f>IF('GENERAL INFORMATION'!$C$8=0,"...",IF('GENERAL INFORMATION'!$E$8=0,"...",CALCULATIONS!AH23))</f>
        <v>...</v>
      </c>
      <c r="T24" s="70"/>
      <c r="U24" s="71"/>
      <c r="V24" s="319">
        <f t="shared" si="0"/>
        <v>0</v>
      </c>
      <c r="W24" s="320"/>
      <c r="X24" s="320"/>
      <c r="Y24" s="260" t="str">
        <f>IF('GENERAL INFORMATION'!$C$8=0,"...",IF('GENERAL INFORMATION'!$E$8=0,"...",CALCULATIONS!AK23))</f>
        <v>...</v>
      </c>
      <c r="Z24" s="261"/>
      <c r="AA24" s="260" t="str">
        <f>IF('GENERAL INFORMATION'!$C$8=0,"...",IF('GENERAL INFORMATION'!$E$8=0,"...",CALCULATIONS!AM23))</f>
        <v>...</v>
      </c>
      <c r="AB24" s="10"/>
      <c r="AC24" s="255"/>
    </row>
    <row r="25" spans="1:29" ht="16" x14ac:dyDescent="0.2">
      <c r="A25" s="112" t="str">
        <f>CALCULATIONS!AB5</f>
        <v>S. mellifera</v>
      </c>
      <c r="B25" s="39" t="str">
        <f>IF('GENERAL INFORMATION'!$C$8=0,"...",IF('GENERAL INFORMATION'!$E$8=0,"...",CALCULATIONS!AD5))</f>
        <v>...</v>
      </c>
      <c r="C25" s="40" t="str">
        <f>IF('GENERAL INFORMATION'!$C$8=0,"...",IF('GENERAL INFORMATION'!$E$8=0,"...",CALCULATIONS!W8))</f>
        <v>...</v>
      </c>
      <c r="D25" s="41" t="str">
        <f>IF('GENERAL INFORMATION'!$C$8=0,"...",IF('GENERAL INFORMATION'!$E$8=0,"...",CALCULATIONS!W12))</f>
        <v>...</v>
      </c>
      <c r="E25" s="46"/>
      <c r="F25" s="71"/>
      <c r="G25" s="46"/>
      <c r="H25" s="109" t="s">
        <v>68</v>
      </c>
      <c r="I25" s="110"/>
      <c r="J25" s="114"/>
      <c r="K25" s="115"/>
      <c r="L25" s="116" t="s">
        <v>50</v>
      </c>
      <c r="M25" s="71"/>
      <c r="N25" s="297">
        <f>CALCULATIONS!AB24</f>
        <v>0</v>
      </c>
      <c r="O25" s="298"/>
      <c r="P25" s="298"/>
      <c r="Q25" s="39" t="str">
        <f>IF('GENERAL INFORMATION'!$C$8=0,"...",IF('GENERAL INFORMATION'!$E$8=0,"...",CALCULATIONS!AD24))</f>
        <v>...</v>
      </c>
      <c r="R25" s="39" t="str">
        <f>IF('GENERAL INFORMATION'!$C$8=0,"...",IF('GENERAL INFORMATION'!E$8=0,"...",CALCULATIONS!AF24))</f>
        <v>...</v>
      </c>
      <c r="S25" s="226" t="str">
        <f>IF('GENERAL INFORMATION'!$C$8=0,"...",IF('GENERAL INFORMATION'!$E$8=0,"...",CALCULATIONS!AH24))</f>
        <v>...</v>
      </c>
      <c r="T25" s="232"/>
      <c r="U25" s="71"/>
      <c r="V25" s="319">
        <f t="shared" si="0"/>
        <v>0</v>
      </c>
      <c r="W25" s="320"/>
      <c r="X25" s="320"/>
      <c r="Y25" s="260" t="str">
        <f>IF('GENERAL INFORMATION'!$C$8=0,"...",IF('GENERAL INFORMATION'!$E$8=0,"...",CALCULATIONS!AK24))</f>
        <v>...</v>
      </c>
      <c r="Z25" s="261"/>
      <c r="AA25" s="260" t="str">
        <f>IF('GENERAL INFORMATION'!$C$8=0,"...",IF('GENERAL INFORMATION'!$E$8=0,"...",CALCULATIONS!AM24))</f>
        <v>...</v>
      </c>
      <c r="AB25" s="10"/>
      <c r="AC25" s="255"/>
    </row>
    <row r="26" spans="1:29" x14ac:dyDescent="0.2">
      <c r="A26" s="266" t="str">
        <f>CALCULATIONS!AB6</f>
        <v>Other(Microphyllous)</v>
      </c>
      <c r="B26" s="39" t="str">
        <f>IF('GENERAL INFORMATION'!$C$8=0,"...",IF('GENERAL INFORMATION'!$E$8=0,"...",CALCULATIONS!Y4))</f>
        <v>...</v>
      </c>
      <c r="C26" s="40" t="str">
        <f>IF('GENERAL INFORMATION'!$C$8=0,"...",IF('GENERAL INFORMATION'!$E$8=0,"...",CALCULATIONS!Y8))</f>
        <v>...</v>
      </c>
      <c r="D26" s="41" t="str">
        <f>IF('GENERAL INFORMATION'!$C$8=0,"...",IF('GENERAL INFORMATION'!$E$8=0,"...",CALCULATIONS!Y12))</f>
        <v>...</v>
      </c>
      <c r="E26" s="46"/>
      <c r="F26" s="71"/>
      <c r="G26" s="46"/>
      <c r="H26" s="65"/>
      <c r="I26" s="46"/>
      <c r="J26" s="46"/>
      <c r="K26" s="46"/>
      <c r="L26" s="46"/>
      <c r="M26" s="71"/>
      <c r="N26" s="297">
        <f>CALCULATIONS!AB25</f>
        <v>0</v>
      </c>
      <c r="O26" s="298"/>
      <c r="P26" s="298"/>
      <c r="Q26" s="39" t="str">
        <f>IF('GENERAL INFORMATION'!$C$8=0,"...",IF('GENERAL INFORMATION'!$E$8=0,"...",CALCULATIONS!AD25))</f>
        <v>...</v>
      </c>
      <c r="R26" s="39" t="str">
        <f>IF('GENERAL INFORMATION'!$C$8=0,"...",IF('GENERAL INFORMATION'!E$8=0,"...",CALCULATIONS!AF25))</f>
        <v>...</v>
      </c>
      <c r="S26" s="226" t="str">
        <f>IF('GENERAL INFORMATION'!$C$8=0,"...",IF('GENERAL INFORMATION'!$E$8=0,"...",CALCULATIONS!AH25))</f>
        <v>...</v>
      </c>
      <c r="T26" s="232"/>
      <c r="U26" s="71"/>
      <c r="V26" s="319">
        <f t="shared" si="0"/>
        <v>0</v>
      </c>
      <c r="W26" s="320"/>
      <c r="X26" s="320"/>
      <c r="Y26" s="260" t="str">
        <f>IF('GENERAL INFORMATION'!$C$8=0,"...",IF('GENERAL INFORMATION'!$E$8=0,"...",CALCULATIONS!AK25))</f>
        <v>...</v>
      </c>
      <c r="Z26" s="261"/>
      <c r="AA26" s="260" t="str">
        <f>IF('GENERAL INFORMATION'!$C$8=0,"...",IF('GENERAL INFORMATION'!$E$8=0,"...",CALCULATIONS!AM25))</f>
        <v>...</v>
      </c>
      <c r="AB26" s="10"/>
      <c r="AC26" s="255"/>
    </row>
    <row r="27" spans="1:29" ht="17" x14ac:dyDescent="0.2">
      <c r="A27" s="266" t="str">
        <f>CALCULATIONS!AB7</f>
        <v>Other(Broad-leaved)</v>
      </c>
      <c r="B27" s="39" t="str">
        <f>IF('GENERAL INFORMATION'!$C$8=0,"...",IF('GENERAL INFORMATION'!$E$8=0,"...",CALCULATIONS!Z4))</f>
        <v>...</v>
      </c>
      <c r="C27" s="40" t="str">
        <f>IF('GENERAL INFORMATION'!$C$8=0,"...",IF('GENERAL INFORMATION'!$E$8=0,"...",CALCULATIONS!Z8))</f>
        <v>...</v>
      </c>
      <c r="D27" s="41" t="str">
        <f>IF('GENERAL INFORMATION'!$C$8=0,"...",IF('GENERAL INFORMATION'!$E$8=0,"...",CALCULATIONS!Z12))</f>
        <v>...</v>
      </c>
      <c r="E27" s="46"/>
      <c r="F27" s="71"/>
      <c r="G27" s="46"/>
      <c r="H27" s="118"/>
      <c r="I27" s="119" t="s">
        <v>99</v>
      </c>
      <c r="J27" s="224" t="s">
        <v>47</v>
      </c>
      <c r="K27" s="225"/>
      <c r="L27" s="46"/>
      <c r="M27" s="71"/>
      <c r="N27" s="297">
        <f>CALCULATIONS!AB26</f>
        <v>0</v>
      </c>
      <c r="O27" s="298"/>
      <c r="P27" s="298"/>
      <c r="Q27" s="39" t="str">
        <f>IF('GENERAL INFORMATION'!$C$8=0,"...",IF('GENERAL INFORMATION'!$E$8=0,"...",CALCULATIONS!AD26))</f>
        <v>...</v>
      </c>
      <c r="R27" s="39" t="str">
        <f>IF('GENERAL INFORMATION'!$C$8=0,"...",IF('GENERAL INFORMATION'!E$8=0,"...",CALCULATIONS!AF26))</f>
        <v>...</v>
      </c>
      <c r="S27" s="226" t="str">
        <f>IF('GENERAL INFORMATION'!$C$8=0,"...",IF('GENERAL INFORMATION'!$E$8=0,"...",CALCULATIONS!AH26))</f>
        <v>...</v>
      </c>
      <c r="T27" s="232"/>
      <c r="U27" s="71"/>
      <c r="V27" s="319">
        <f t="shared" si="0"/>
        <v>0</v>
      </c>
      <c r="W27" s="320"/>
      <c r="X27" s="320"/>
      <c r="Y27" s="260" t="str">
        <f>IF('GENERAL INFORMATION'!$C$8=0,"...",IF('GENERAL INFORMATION'!$E$8=0,"...",CALCULATIONS!AK26))</f>
        <v>...</v>
      </c>
      <c r="Z27" s="261"/>
      <c r="AA27" s="260" t="str">
        <f>IF('GENERAL INFORMATION'!$C$8=0,"...",IF('GENERAL INFORMATION'!$E$8=0,"...",CALCULATIONS!AM26))</f>
        <v>...</v>
      </c>
      <c r="AB27" s="10"/>
      <c r="AC27" s="255"/>
    </row>
    <row r="28" spans="1:29" ht="16" thickBot="1" x14ac:dyDescent="0.25">
      <c r="A28" s="117" t="s">
        <v>29</v>
      </c>
      <c r="B28" s="265">
        <f>SUM(B23:B27)</f>
        <v>0</v>
      </c>
      <c r="C28" s="265">
        <f>SUM(C23:C27)</f>
        <v>0</v>
      </c>
      <c r="D28" s="265">
        <f>SUM(D23:D27)</f>
        <v>0</v>
      </c>
      <c r="E28" s="46"/>
      <c r="F28" s="71"/>
      <c r="G28" s="46"/>
      <c r="H28" s="118"/>
      <c r="I28" s="81" t="s">
        <v>102</v>
      </c>
      <c r="J28" s="86" t="s">
        <v>43</v>
      </c>
      <c r="K28" s="81" t="s">
        <v>44</v>
      </c>
      <c r="L28" s="46"/>
      <c r="M28" s="71"/>
      <c r="N28" s="297">
        <f>CALCULATIONS!AB27</f>
        <v>0</v>
      </c>
      <c r="O28" s="298"/>
      <c r="P28" s="298"/>
      <c r="Q28" s="39" t="str">
        <f>IF('GENERAL INFORMATION'!$C$8=0,"...",IF('GENERAL INFORMATION'!$E$8=0,"...",CALCULATIONS!AD27))</f>
        <v>...</v>
      </c>
      <c r="R28" s="39" t="str">
        <f>IF('GENERAL INFORMATION'!$C$8=0,"...",IF('GENERAL INFORMATION'!E$8=0,"...",CALCULATIONS!AF27))</f>
        <v>...</v>
      </c>
      <c r="S28" s="226" t="str">
        <f>IF('GENERAL INFORMATION'!$C$8=0,"...",IF('GENERAL INFORMATION'!$E$8=0,"...",CALCULATIONS!AH27))</f>
        <v>...</v>
      </c>
      <c r="T28" s="232"/>
      <c r="U28" s="71"/>
      <c r="V28" s="319">
        <f t="shared" si="0"/>
        <v>0</v>
      </c>
      <c r="W28" s="320"/>
      <c r="X28" s="320"/>
      <c r="Y28" s="260" t="str">
        <f>IF('GENERAL INFORMATION'!$C$8=0,"...",IF('GENERAL INFORMATION'!$E$8=0,"...",CALCULATIONS!AK27))</f>
        <v>...</v>
      </c>
      <c r="Z28" s="261"/>
      <c r="AA28" s="260" t="str">
        <f>IF('GENERAL INFORMATION'!$C$8=0,"...",IF('GENERAL INFORMATION'!$E$8=0,"...",CALCULATIONS!AM27))</f>
        <v>...</v>
      </c>
      <c r="AB28" s="10"/>
      <c r="AC28" s="255"/>
    </row>
    <row r="29" spans="1:29" ht="15" customHeight="1" thickTop="1" x14ac:dyDescent="0.2">
      <c r="A29" s="65"/>
      <c r="B29" s="46"/>
      <c r="C29" s="46"/>
      <c r="D29" s="46"/>
      <c r="E29" s="46"/>
      <c r="F29" s="71"/>
      <c r="G29" s="46"/>
      <c r="H29" s="120" t="s">
        <v>31</v>
      </c>
      <c r="I29" s="121">
        <v>25</v>
      </c>
      <c r="J29" s="36">
        <f>IF($K$22="All plants",$J$10*(I29/100)*($K$25/100),IF($K$22="Thinning",$J$18*(I29/100)*($K$25/100),0))</f>
        <v>0</v>
      </c>
      <c r="K29" s="36">
        <f>J29+(J29*0.3345)</f>
        <v>0</v>
      </c>
      <c r="L29" s="46"/>
      <c r="M29" s="71"/>
      <c r="N29" s="297">
        <f>CALCULATIONS!AB28</f>
        <v>0</v>
      </c>
      <c r="O29" s="298"/>
      <c r="P29" s="298"/>
      <c r="Q29" s="39" t="str">
        <f>IF('GENERAL INFORMATION'!$C$8=0,"...",IF('GENERAL INFORMATION'!$E$8=0,"...",CALCULATIONS!AD28))</f>
        <v>...</v>
      </c>
      <c r="R29" s="39" t="str">
        <f>IF('GENERAL INFORMATION'!$C$8=0,"...",IF('GENERAL INFORMATION'!E$8=0,"...",CALCULATIONS!AF28))</f>
        <v>...</v>
      </c>
      <c r="S29" s="226" t="str">
        <f>IF('GENERAL INFORMATION'!$C$8=0,"...",IF('GENERAL INFORMATION'!$E$8=0,"...",CALCULATIONS!AH28))</f>
        <v>...</v>
      </c>
      <c r="T29" s="232"/>
      <c r="U29" s="71"/>
      <c r="V29" s="319">
        <f t="shared" si="0"/>
        <v>0</v>
      </c>
      <c r="W29" s="320"/>
      <c r="X29" s="320"/>
      <c r="Y29" s="260" t="str">
        <f>IF('GENERAL INFORMATION'!$C$8=0,"...",IF('GENERAL INFORMATION'!$E$8=0,"...",CALCULATIONS!AK28))</f>
        <v>...</v>
      </c>
      <c r="Z29" s="261"/>
      <c r="AA29" s="260" t="str">
        <f>IF('GENERAL INFORMATION'!$C$8=0,"...",IF('GENERAL INFORMATION'!$E$8=0,"...",CALCULATIONS!AM28))</f>
        <v>...</v>
      </c>
      <c r="AB29" s="10"/>
      <c r="AC29" s="255"/>
    </row>
    <row r="30" spans="1:29" x14ac:dyDescent="0.2">
      <c r="A30" s="68" t="s">
        <v>83</v>
      </c>
      <c r="B30" s="46"/>
      <c r="C30" s="46"/>
      <c r="D30" s="46"/>
      <c r="E30" s="46"/>
      <c r="F30" s="71"/>
      <c r="G30" s="46"/>
      <c r="H30" s="120" t="s">
        <v>32</v>
      </c>
      <c r="I30" s="121">
        <v>25</v>
      </c>
      <c r="J30" s="36">
        <f t="shared" ref="J30:J40" si="1">IF($K$22="All plants",$J$10*(I30/100)*($K$25/100),IF($K$22="Thinning",$J$18*(I30/100)*($K$25/100),0))</f>
        <v>0</v>
      </c>
      <c r="K30" s="36">
        <f t="shared" ref="K30:K40" si="2">J30+(J30*0.3345)</f>
        <v>0</v>
      </c>
      <c r="L30" s="46" t="str">
        <f t="shared" ref="L30:L41" si="3">IF(I29&gt;100,"Error","")</f>
        <v/>
      </c>
      <c r="M30" s="71"/>
      <c r="N30" s="297">
        <f>CALCULATIONS!AB29</f>
        <v>0</v>
      </c>
      <c r="O30" s="298"/>
      <c r="P30" s="298"/>
      <c r="Q30" s="39" t="str">
        <f>IF('GENERAL INFORMATION'!$C$8=0,"...",IF('GENERAL INFORMATION'!$E$8=0,"...",CALCULATIONS!AD29))</f>
        <v>...</v>
      </c>
      <c r="R30" s="39" t="str">
        <f>IF('GENERAL INFORMATION'!$C$8=0,"...",IF('GENERAL INFORMATION'!E$8=0,"...",CALCULATIONS!AF29))</f>
        <v>...</v>
      </c>
      <c r="S30" s="226" t="str">
        <f>IF('GENERAL INFORMATION'!$C$8=0,"...",IF('GENERAL INFORMATION'!$E$8=0,"...",CALCULATIONS!AH29))</f>
        <v>...</v>
      </c>
      <c r="T30" s="232"/>
      <c r="U30" s="71"/>
      <c r="V30" s="319">
        <f t="shared" si="0"/>
        <v>0</v>
      </c>
      <c r="W30" s="320"/>
      <c r="X30" s="320"/>
      <c r="Y30" s="260" t="str">
        <f>IF('GENERAL INFORMATION'!$C$8=0,"...",IF('GENERAL INFORMATION'!$E$8=0,"...",CALCULATIONS!AK29))</f>
        <v>...</v>
      </c>
      <c r="Z30" s="261"/>
      <c r="AA30" s="260" t="str">
        <f>IF('GENERAL INFORMATION'!$C$8=0,"...",IF('GENERAL INFORMATION'!$E$8=0,"...",CALCULATIONS!AM29))</f>
        <v>...</v>
      </c>
      <c r="AB30" s="10"/>
      <c r="AC30" s="255"/>
    </row>
    <row r="31" spans="1:29" ht="17.25" customHeight="1" x14ac:dyDescent="0.2">
      <c r="A31" s="309" t="s">
        <v>103</v>
      </c>
      <c r="B31" s="310"/>
      <c r="C31" s="310"/>
      <c r="D31" s="310"/>
      <c r="E31" s="310"/>
      <c r="F31" s="311"/>
      <c r="G31" s="46"/>
      <c r="H31" s="120" t="s">
        <v>33</v>
      </c>
      <c r="I31" s="121">
        <v>25</v>
      </c>
      <c r="J31" s="36">
        <f t="shared" si="1"/>
        <v>0</v>
      </c>
      <c r="K31" s="36">
        <f t="shared" si="2"/>
        <v>0</v>
      </c>
      <c r="L31" s="46" t="str">
        <f t="shared" si="3"/>
        <v/>
      </c>
      <c r="M31" s="71"/>
      <c r="N31" s="297">
        <f>CALCULATIONS!AB30</f>
        <v>0</v>
      </c>
      <c r="O31" s="298"/>
      <c r="P31" s="298"/>
      <c r="Q31" s="39" t="str">
        <f>IF('GENERAL INFORMATION'!$C$8=0,"...",IF('GENERAL INFORMATION'!$E$8=0,"...",CALCULATIONS!AD30))</f>
        <v>...</v>
      </c>
      <c r="R31" s="39" t="str">
        <f>IF('GENERAL INFORMATION'!$C$8=0,"...",IF('GENERAL INFORMATION'!E$8=0,"...",CALCULATIONS!AF30))</f>
        <v>...</v>
      </c>
      <c r="S31" s="226" t="str">
        <f>IF('GENERAL INFORMATION'!$C$8=0,"...",IF('GENERAL INFORMATION'!$E$8=0,"...",CALCULATIONS!AH30))</f>
        <v>...</v>
      </c>
      <c r="T31" s="232"/>
      <c r="U31" s="71"/>
      <c r="V31" s="319">
        <f t="shared" si="0"/>
        <v>0</v>
      </c>
      <c r="W31" s="320"/>
      <c r="X31" s="320"/>
      <c r="Y31" s="260" t="str">
        <f>IF('GENERAL INFORMATION'!$C$8=0,"...",IF('GENERAL INFORMATION'!$E$8=0,"...",CALCULATIONS!AK30))</f>
        <v>...</v>
      </c>
      <c r="Z31" s="261"/>
      <c r="AA31" s="260" t="str">
        <f>IF('GENERAL INFORMATION'!$C$8=0,"...",IF('GENERAL INFORMATION'!$E$8=0,"...",CALCULATIONS!AM30))</f>
        <v>...</v>
      </c>
      <c r="AB31" s="10"/>
      <c r="AC31" s="255"/>
    </row>
    <row r="32" spans="1:29" ht="18.75" customHeight="1" x14ac:dyDescent="0.2">
      <c r="A32" s="312"/>
      <c r="B32" s="313"/>
      <c r="C32" s="313"/>
      <c r="D32" s="313"/>
      <c r="E32" s="313"/>
      <c r="F32" s="314"/>
      <c r="G32" s="46"/>
      <c r="H32" s="120" t="s">
        <v>34</v>
      </c>
      <c r="I32" s="121">
        <v>75</v>
      </c>
      <c r="J32" s="36">
        <f t="shared" si="1"/>
        <v>0</v>
      </c>
      <c r="K32" s="36">
        <f t="shared" si="2"/>
        <v>0</v>
      </c>
      <c r="L32" s="46" t="str">
        <f t="shared" si="3"/>
        <v/>
      </c>
      <c r="M32" s="71"/>
      <c r="N32" s="297">
        <f>CALCULATIONS!AB31</f>
        <v>0</v>
      </c>
      <c r="O32" s="298"/>
      <c r="P32" s="298"/>
      <c r="Q32" s="39" t="str">
        <f>IF('GENERAL INFORMATION'!$C$8=0,"...",IF('GENERAL INFORMATION'!$E$8=0,"...",CALCULATIONS!AD31))</f>
        <v>...</v>
      </c>
      <c r="R32" s="39" t="str">
        <f>IF('GENERAL INFORMATION'!$C$8=0,"...",IF('GENERAL INFORMATION'!E$8=0,"...",CALCULATIONS!AF31))</f>
        <v>...</v>
      </c>
      <c r="S32" s="226" t="str">
        <f>IF('GENERAL INFORMATION'!$C$8=0,"...",IF('GENERAL INFORMATION'!$E$8=0,"...",CALCULATIONS!AH31))</f>
        <v>...</v>
      </c>
      <c r="T32" s="232"/>
      <c r="U32" s="71"/>
      <c r="V32" s="319">
        <f t="shared" si="0"/>
        <v>0</v>
      </c>
      <c r="W32" s="320"/>
      <c r="X32" s="320"/>
      <c r="Y32" s="260" t="str">
        <f>IF('GENERAL INFORMATION'!$C$8=0,"...",IF('GENERAL INFORMATION'!$E$8=0,"...",CALCULATIONS!AK31))</f>
        <v>...</v>
      </c>
      <c r="Z32" s="261"/>
      <c r="AA32" s="260" t="str">
        <f>IF('GENERAL INFORMATION'!$C$8=0,"...",IF('GENERAL INFORMATION'!$E$8=0,"...",CALCULATIONS!AM31))</f>
        <v>...</v>
      </c>
      <c r="AB32" s="10"/>
      <c r="AC32" s="255"/>
    </row>
    <row r="33" spans="1:29" ht="16" x14ac:dyDescent="0.2">
      <c r="A33" s="74" t="s">
        <v>53</v>
      </c>
      <c r="B33" s="46"/>
      <c r="C33" s="46"/>
      <c r="D33" s="46"/>
      <c r="E33" s="104" t="s">
        <v>132</v>
      </c>
      <c r="F33" s="71"/>
      <c r="G33" s="46"/>
      <c r="H33" s="120" t="s">
        <v>35</v>
      </c>
      <c r="I33" s="121">
        <v>100</v>
      </c>
      <c r="J33" s="36">
        <f t="shared" si="1"/>
        <v>0</v>
      </c>
      <c r="K33" s="36">
        <f t="shared" si="2"/>
        <v>0</v>
      </c>
      <c r="L33" s="46" t="str">
        <f t="shared" si="3"/>
        <v/>
      </c>
      <c r="M33" s="71"/>
      <c r="N33" s="297">
        <f>CALCULATIONS!AB32</f>
        <v>0</v>
      </c>
      <c r="O33" s="298"/>
      <c r="P33" s="298"/>
      <c r="Q33" s="39" t="str">
        <f>IF('GENERAL INFORMATION'!$C$8=0,"...",IF('GENERAL INFORMATION'!$E$8=0,"...",CALCULATIONS!AD32))</f>
        <v>...</v>
      </c>
      <c r="R33" s="39" t="str">
        <f>IF('GENERAL INFORMATION'!$C$8=0,"...",IF('GENERAL INFORMATION'!E$8=0,"...",CALCULATIONS!AF32))</f>
        <v>...</v>
      </c>
      <c r="S33" s="226" t="str">
        <f>IF('GENERAL INFORMATION'!$C$8=0,"...",IF('GENERAL INFORMATION'!$E$8=0,"...",CALCULATIONS!AH32))</f>
        <v>...</v>
      </c>
      <c r="T33" s="232"/>
      <c r="U33" s="71"/>
      <c r="V33" s="319">
        <f t="shared" si="0"/>
        <v>0</v>
      </c>
      <c r="W33" s="320"/>
      <c r="X33" s="320"/>
      <c r="Y33" s="260" t="str">
        <f>IF('GENERAL INFORMATION'!$C$8=0,"...",IF('GENERAL INFORMATION'!$E$8=0,"...",CALCULATIONS!AK32))</f>
        <v>...</v>
      </c>
      <c r="Z33" s="261"/>
      <c r="AA33" s="260" t="str">
        <f>IF('GENERAL INFORMATION'!$C$8=0,"...",IF('GENERAL INFORMATION'!$E$8=0,"...",CALCULATIONS!AM32))</f>
        <v>...</v>
      </c>
      <c r="AB33" s="10"/>
      <c r="AC33" s="255"/>
    </row>
    <row r="34" spans="1:29" x14ac:dyDescent="0.2">
      <c r="A34" s="122" t="s">
        <v>98</v>
      </c>
      <c r="B34" s="213" t="str">
        <f>IF('GENERAL INFORMATION'!$C$8=0,"NO DATA",IF('GENERAL INFORMATION'!$E$8=0,"NO DATA",CALCULATIONS!G154))</f>
        <v>NO DATA</v>
      </c>
      <c r="C34" s="295" t="s">
        <v>116</v>
      </c>
      <c r="D34" s="299"/>
      <c r="E34" s="134"/>
      <c r="F34" s="71"/>
      <c r="G34" s="46"/>
      <c r="H34" s="120" t="s">
        <v>36</v>
      </c>
      <c r="I34" s="121">
        <v>100</v>
      </c>
      <c r="J34" s="36">
        <f t="shared" si="1"/>
        <v>0</v>
      </c>
      <c r="K34" s="36">
        <f t="shared" si="2"/>
        <v>0</v>
      </c>
      <c r="L34" s="46" t="str">
        <f t="shared" si="3"/>
        <v/>
      </c>
      <c r="M34" s="71"/>
      <c r="N34" s="297">
        <f>CALCULATIONS!AB33</f>
        <v>0</v>
      </c>
      <c r="O34" s="298"/>
      <c r="P34" s="298"/>
      <c r="Q34" s="39" t="str">
        <f>IF('GENERAL INFORMATION'!$C$8=0,"...",IF('GENERAL INFORMATION'!$E$8=0,"...",CALCULATIONS!AD33))</f>
        <v>...</v>
      </c>
      <c r="R34" s="39" t="str">
        <f>IF('GENERAL INFORMATION'!$C$8=0,"...",IF('GENERAL INFORMATION'!E$8=0,"...",CALCULATIONS!AF33))</f>
        <v>...</v>
      </c>
      <c r="S34" s="226" t="str">
        <f>IF('GENERAL INFORMATION'!$C$8=0,"...",IF('GENERAL INFORMATION'!$E$8=0,"...",CALCULATIONS!AH33))</f>
        <v>...</v>
      </c>
      <c r="T34" s="232"/>
      <c r="U34" s="71"/>
      <c r="V34" s="319">
        <f t="shared" si="0"/>
        <v>0</v>
      </c>
      <c r="W34" s="320"/>
      <c r="X34" s="320"/>
      <c r="Y34" s="260" t="str">
        <f>IF('GENERAL INFORMATION'!$C$8=0,"...",IF('GENERAL INFORMATION'!$E$8=0,"...",CALCULATIONS!AK33))</f>
        <v>...</v>
      </c>
      <c r="Z34" s="261"/>
      <c r="AA34" s="260" t="str">
        <f>IF('GENERAL INFORMATION'!$C$8=0,"...",IF('GENERAL INFORMATION'!$E$8=0,"...",CALCULATIONS!AM33))</f>
        <v>...</v>
      </c>
      <c r="AB34" s="10"/>
      <c r="AC34" s="255"/>
    </row>
    <row r="35" spans="1:29" x14ac:dyDescent="0.2">
      <c r="A35" s="65" t="s">
        <v>120</v>
      </c>
      <c r="B35" s="213" t="e">
        <f>(B34*E34)/1000</f>
        <v>#VALUE!</v>
      </c>
      <c r="C35" s="78" t="s">
        <v>121</v>
      </c>
      <c r="D35" s="46"/>
      <c r="E35" s="46"/>
      <c r="F35" s="71"/>
      <c r="G35" s="78" t="s">
        <v>71</v>
      </c>
      <c r="H35" s="120" t="s">
        <v>37</v>
      </c>
      <c r="I35" s="121">
        <v>100</v>
      </c>
      <c r="J35" s="36">
        <f t="shared" si="1"/>
        <v>0</v>
      </c>
      <c r="K35" s="36">
        <f t="shared" si="2"/>
        <v>0</v>
      </c>
      <c r="L35" s="46" t="str">
        <f t="shared" si="3"/>
        <v/>
      </c>
      <c r="M35" s="71"/>
      <c r="N35" s="297">
        <f>CALCULATIONS!AB34</f>
        <v>0</v>
      </c>
      <c r="O35" s="298"/>
      <c r="P35" s="298"/>
      <c r="Q35" s="39" t="str">
        <f>IF('GENERAL INFORMATION'!$C$8=0,"...",IF('GENERAL INFORMATION'!$E$8=0,"...",CALCULATIONS!AD34))</f>
        <v>...</v>
      </c>
      <c r="R35" s="39" t="str">
        <f>IF('GENERAL INFORMATION'!$C$8=0,"...",IF('GENERAL INFORMATION'!E$8=0,"...",CALCULATIONS!AF34))</f>
        <v>...</v>
      </c>
      <c r="S35" s="226" t="str">
        <f>IF('GENERAL INFORMATION'!$C$8=0,"...",IF('GENERAL INFORMATION'!$E$8=0,"...",CALCULATIONS!AH34))</f>
        <v>...</v>
      </c>
      <c r="T35" s="232"/>
      <c r="U35" s="71"/>
      <c r="V35" s="319">
        <f t="shared" si="0"/>
        <v>0</v>
      </c>
      <c r="W35" s="320"/>
      <c r="X35" s="320"/>
      <c r="Y35" s="260" t="str">
        <f>IF('GENERAL INFORMATION'!$C$8=0,"...",IF('GENERAL INFORMATION'!$E$8=0,"...",CALCULATIONS!AK34))</f>
        <v>...</v>
      </c>
      <c r="Z35" s="261"/>
      <c r="AA35" s="260" t="str">
        <f>IF('GENERAL INFORMATION'!$C$8=0,"...",IF('GENERAL INFORMATION'!$E$8=0,"...",CALCULATIONS!AM34))</f>
        <v>...</v>
      </c>
      <c r="AB35" s="10"/>
      <c r="AC35" s="255"/>
    </row>
    <row r="36" spans="1:29" ht="14.25" customHeight="1" thickBot="1" x14ac:dyDescent="0.25">
      <c r="A36" s="74"/>
      <c r="B36" s="219" t="str">
        <f>IF(B34="NO DATA","Please fill coordinates on General Information tab","")</f>
        <v>Please fill coordinates on General Information tab</v>
      </c>
      <c r="C36" s="220"/>
      <c r="D36" s="220"/>
      <c r="E36" s="220"/>
      <c r="F36" s="222"/>
      <c r="G36" s="124" t="e">
        <f>#REF!</f>
        <v>#REF!</v>
      </c>
      <c r="H36" s="120" t="s">
        <v>38</v>
      </c>
      <c r="I36" s="121">
        <v>100</v>
      </c>
      <c r="J36" s="36">
        <f t="shared" si="1"/>
        <v>0</v>
      </c>
      <c r="K36" s="36">
        <f t="shared" si="2"/>
        <v>0</v>
      </c>
      <c r="L36" s="46" t="str">
        <f t="shared" si="3"/>
        <v/>
      </c>
      <c r="M36" s="71"/>
      <c r="N36" s="297">
        <f>CALCULATIONS!AB35</f>
        <v>0</v>
      </c>
      <c r="O36" s="298"/>
      <c r="P36" s="298"/>
      <c r="Q36" s="39" t="str">
        <f>IF('GENERAL INFORMATION'!$C$8=0,"...",IF('GENERAL INFORMATION'!$E$8=0,"...",CALCULATIONS!AD35))</f>
        <v>...</v>
      </c>
      <c r="R36" s="39" t="str">
        <f>IF('GENERAL INFORMATION'!$C$8=0,"...",IF('GENERAL INFORMATION'!E$8=0,"...",CALCULATIONS!AF35))</f>
        <v>...</v>
      </c>
      <c r="S36" s="226" t="str">
        <f>IF('GENERAL INFORMATION'!$C$8=0,"...",IF('GENERAL INFORMATION'!$E$8=0,"...",CALCULATIONS!AH35))</f>
        <v>...</v>
      </c>
      <c r="T36" s="232"/>
      <c r="U36" s="71"/>
      <c r="V36" s="319">
        <f t="shared" si="0"/>
        <v>0</v>
      </c>
      <c r="W36" s="320"/>
      <c r="X36" s="320"/>
      <c r="Y36" s="260" t="str">
        <f>IF('GENERAL INFORMATION'!$C$8=0,"...",IF('GENERAL INFORMATION'!$E$8=0,"...",CALCULATIONS!AK35))</f>
        <v>...</v>
      </c>
      <c r="Z36" s="261"/>
      <c r="AA36" s="260" t="str">
        <f>IF('GENERAL INFORMATION'!$C$8=0,"...",IF('GENERAL INFORMATION'!$E$8=0,"...",CALCULATIONS!AM35))</f>
        <v>...</v>
      </c>
      <c r="AB36" s="10"/>
      <c r="AC36" s="255"/>
    </row>
    <row r="37" spans="1:29" ht="15" customHeight="1" thickTop="1" x14ac:dyDescent="0.2">
      <c r="A37" s="68" t="s">
        <v>84</v>
      </c>
      <c r="B37" s="125"/>
      <c r="C37" s="72"/>
      <c r="D37" s="126"/>
      <c r="E37" s="126"/>
      <c r="F37" s="127"/>
      <c r="G37" s="46"/>
      <c r="H37" s="120" t="s">
        <v>39</v>
      </c>
      <c r="I37" s="121">
        <v>100</v>
      </c>
      <c r="J37" s="36">
        <f t="shared" si="1"/>
        <v>0</v>
      </c>
      <c r="K37" s="36">
        <f t="shared" si="2"/>
        <v>0</v>
      </c>
      <c r="L37" s="46" t="str">
        <f t="shared" si="3"/>
        <v/>
      </c>
      <c r="M37" s="71"/>
      <c r="N37" s="297">
        <f>CALCULATIONS!AB36</f>
        <v>0</v>
      </c>
      <c r="O37" s="298"/>
      <c r="P37" s="298"/>
      <c r="Q37" s="39" t="str">
        <f>IF('GENERAL INFORMATION'!$C$8=0,"...",IF('GENERAL INFORMATION'!$E$8=0,"...",CALCULATIONS!AD36))</f>
        <v>...</v>
      </c>
      <c r="R37" s="39" t="str">
        <f>IF('GENERAL INFORMATION'!$C$8=0,"...",IF('GENERAL INFORMATION'!E$8=0,"...",CALCULATIONS!AF36))</f>
        <v>...</v>
      </c>
      <c r="S37" s="226" t="str">
        <f>IF('GENERAL INFORMATION'!$C$8=0,"...",IF('GENERAL INFORMATION'!$E$8=0,"...",CALCULATIONS!AH36))</f>
        <v>...</v>
      </c>
      <c r="T37" s="232"/>
      <c r="U37" s="71"/>
      <c r="V37" s="319">
        <f t="shared" si="0"/>
        <v>0</v>
      </c>
      <c r="W37" s="320"/>
      <c r="X37" s="320"/>
      <c r="Y37" s="260" t="str">
        <f>IF('GENERAL INFORMATION'!$C$8=0,"...",IF('GENERAL INFORMATION'!$E$8=0,"...",CALCULATIONS!AK36))</f>
        <v>...</v>
      </c>
      <c r="Z37" s="261"/>
      <c r="AA37" s="260" t="str">
        <f>IF('GENERAL INFORMATION'!$C$8=0,"...",IF('GENERAL INFORMATION'!$E$8=0,"...",CALCULATIONS!AM36))</f>
        <v>...</v>
      </c>
      <c r="AB37" s="10"/>
      <c r="AC37" s="255"/>
    </row>
    <row r="38" spans="1:29" x14ac:dyDescent="0.2">
      <c r="A38" s="300" t="s">
        <v>143</v>
      </c>
      <c r="B38" s="301"/>
      <c r="C38" s="301"/>
      <c r="D38" s="301"/>
      <c r="E38" s="301"/>
      <c r="F38" s="302"/>
      <c r="G38" s="46"/>
      <c r="H38" s="120" t="s">
        <v>145</v>
      </c>
      <c r="I38" s="121">
        <v>75</v>
      </c>
      <c r="J38" s="36">
        <f t="shared" si="1"/>
        <v>0</v>
      </c>
      <c r="K38" s="36">
        <f t="shared" si="2"/>
        <v>0</v>
      </c>
      <c r="L38" s="46" t="str">
        <f t="shared" si="3"/>
        <v/>
      </c>
      <c r="M38" s="71"/>
      <c r="N38" s="297">
        <f>CALCULATIONS!AB37</f>
        <v>0</v>
      </c>
      <c r="O38" s="298"/>
      <c r="P38" s="298"/>
      <c r="Q38" s="39" t="str">
        <f>IF('GENERAL INFORMATION'!$C$8=0,"...",IF('GENERAL INFORMATION'!$E$8=0,"...",CALCULATIONS!AD37))</f>
        <v>...</v>
      </c>
      <c r="R38" s="39" t="str">
        <f>IF('GENERAL INFORMATION'!$C$8=0,"...",IF('GENERAL INFORMATION'!E$8=0,"...",CALCULATIONS!AF37))</f>
        <v>...</v>
      </c>
      <c r="S38" s="226" t="str">
        <f>IF('GENERAL INFORMATION'!$C$8=0,"...",IF('GENERAL INFORMATION'!$E$8=0,"...",CALCULATIONS!AH37))</f>
        <v>...</v>
      </c>
      <c r="T38" s="232"/>
      <c r="U38" s="71"/>
      <c r="V38" s="319">
        <f t="shared" si="0"/>
        <v>0</v>
      </c>
      <c r="W38" s="320"/>
      <c r="X38" s="320"/>
      <c r="Y38" s="260" t="str">
        <f>IF('GENERAL INFORMATION'!$C$8=0,"...",IF('GENERAL INFORMATION'!$E$8=0,"...",CALCULATIONS!AK37))</f>
        <v>...</v>
      </c>
      <c r="Z38" s="261"/>
      <c r="AA38" s="260" t="str">
        <f>IF('GENERAL INFORMATION'!$C$8=0,"...",IF('GENERAL INFORMATION'!$E$8=0,"...",CALCULATIONS!AM37))</f>
        <v>...</v>
      </c>
      <c r="AB38" s="10"/>
      <c r="AC38" s="255"/>
    </row>
    <row r="39" spans="1:29" ht="15.75" customHeight="1" thickBot="1" x14ac:dyDescent="0.25">
      <c r="A39" s="303"/>
      <c r="B39" s="304"/>
      <c r="C39" s="304"/>
      <c r="D39" s="304"/>
      <c r="E39" s="304"/>
      <c r="F39" s="305"/>
      <c r="G39" s="46"/>
      <c r="H39" s="120" t="s">
        <v>40</v>
      </c>
      <c r="I39" s="121">
        <v>25</v>
      </c>
      <c r="J39" s="36">
        <f t="shared" si="1"/>
        <v>0</v>
      </c>
      <c r="K39" s="36">
        <f t="shared" si="2"/>
        <v>0</v>
      </c>
      <c r="L39" s="46" t="str">
        <f t="shared" si="3"/>
        <v/>
      </c>
      <c r="M39" s="71"/>
      <c r="N39" s="246" t="s">
        <v>29</v>
      </c>
      <c r="O39" s="247"/>
      <c r="P39" s="247"/>
      <c r="Q39" s="248">
        <f>SUM(Q4:Q38)</f>
        <v>0</v>
      </c>
      <c r="R39" s="248">
        <f t="shared" ref="R39:S39" si="4">SUM(R4:R38)</f>
        <v>0</v>
      </c>
      <c r="S39" s="249">
        <f t="shared" si="4"/>
        <v>0</v>
      </c>
      <c r="T39" s="232"/>
      <c r="U39" s="71"/>
      <c r="V39" s="244" t="s">
        <v>29</v>
      </c>
      <c r="W39" s="243"/>
      <c r="X39" s="243"/>
      <c r="Y39" s="262">
        <f>SUM(Y4:Y38)</f>
        <v>0</v>
      </c>
      <c r="Z39" s="263"/>
      <c r="AA39" s="262">
        <f>SUM(AA4:AA38)</f>
        <v>0</v>
      </c>
      <c r="AB39" s="243"/>
      <c r="AC39" s="255"/>
    </row>
    <row r="40" spans="1:29" ht="15" customHeight="1" thickTop="1" x14ac:dyDescent="0.2">
      <c r="A40" s="306"/>
      <c r="B40" s="307"/>
      <c r="C40" s="307"/>
      <c r="D40" s="307"/>
      <c r="E40" s="307"/>
      <c r="F40" s="308"/>
      <c r="G40" s="46"/>
      <c r="H40" s="130" t="s">
        <v>41</v>
      </c>
      <c r="I40" s="121">
        <v>25</v>
      </c>
      <c r="J40" s="36">
        <f t="shared" si="1"/>
        <v>0</v>
      </c>
      <c r="K40" s="36">
        <f t="shared" si="2"/>
        <v>0</v>
      </c>
      <c r="L40" s="46" t="str">
        <f t="shared" si="3"/>
        <v/>
      </c>
      <c r="M40" s="71"/>
      <c r="N40" s="33"/>
      <c r="O40" s="10"/>
      <c r="P40" s="10"/>
      <c r="Q40" s="10"/>
      <c r="R40" s="10"/>
      <c r="S40" s="10"/>
      <c r="T40" s="10"/>
      <c r="U40" s="71"/>
      <c r="V40" s="33"/>
      <c r="W40" s="10"/>
      <c r="X40" s="10"/>
      <c r="Y40" s="10"/>
      <c r="Z40" s="10"/>
      <c r="AA40" s="10"/>
      <c r="AB40" s="10"/>
      <c r="AC40" s="255"/>
    </row>
    <row r="41" spans="1:29" ht="15" customHeight="1" x14ac:dyDescent="0.2">
      <c r="A41" s="79"/>
      <c r="B41" s="104" t="s">
        <v>48</v>
      </c>
      <c r="C41" s="46"/>
      <c r="D41" s="128" t="s">
        <v>49</v>
      </c>
      <c r="E41" s="128" t="s">
        <v>74</v>
      </c>
      <c r="F41" s="129"/>
      <c r="G41" s="46"/>
      <c r="H41" s="33"/>
      <c r="I41" s="10"/>
      <c r="J41" s="10"/>
      <c r="K41" s="10"/>
      <c r="L41" s="46" t="str">
        <f t="shared" si="3"/>
        <v/>
      </c>
      <c r="M41" s="71"/>
      <c r="N41" s="236" t="s">
        <v>159</v>
      </c>
      <c r="O41" s="237"/>
      <c r="P41" s="234"/>
      <c r="Q41" s="235"/>
      <c r="R41" s="232"/>
      <c r="S41" s="232"/>
      <c r="T41" s="232"/>
      <c r="U41" s="71"/>
      <c r="V41" s="33"/>
      <c r="W41" s="10"/>
      <c r="X41" s="10"/>
      <c r="Y41" s="10"/>
      <c r="Z41" s="10"/>
      <c r="AA41" s="10"/>
      <c r="AB41" s="10"/>
      <c r="AC41" s="255"/>
    </row>
    <row r="42" spans="1:29" x14ac:dyDescent="0.2">
      <c r="A42" s="109" t="s">
        <v>77</v>
      </c>
      <c r="B42" s="134"/>
      <c r="C42" s="131" t="s">
        <v>88</v>
      </c>
      <c r="D42" s="134"/>
      <c r="E42" s="134"/>
      <c r="F42" s="129"/>
      <c r="G42" s="46"/>
      <c r="H42" s="68" t="s">
        <v>118</v>
      </c>
      <c r="I42" s="113"/>
      <c r="J42" s="113"/>
      <c r="K42" s="113"/>
      <c r="L42" s="132" t="b">
        <f>IF(K42="Yes",1,IF(K42="No",0))</f>
        <v>0</v>
      </c>
      <c r="M42" s="71"/>
      <c r="N42" s="33" t="s">
        <v>163</v>
      </c>
      <c r="O42" s="88"/>
      <c r="P42" s="231"/>
      <c r="Q42" s="232"/>
      <c r="R42" s="232"/>
      <c r="S42" s="232"/>
      <c r="T42" s="232"/>
      <c r="U42" s="71"/>
      <c r="V42" s="33"/>
      <c r="W42" s="10"/>
      <c r="X42" s="10"/>
      <c r="Y42" s="10"/>
      <c r="Z42" s="10"/>
      <c r="AA42" s="10"/>
      <c r="AB42" s="10"/>
      <c r="AC42" s="255"/>
    </row>
    <row r="43" spans="1:29" ht="15" customHeight="1" x14ac:dyDescent="0.2">
      <c r="A43" s="203" t="str">
        <f>IF('DATA INPUT'!D7&gt;0,"Rule of Thumb (TE) set @",IF('DATA INPUT'!F7&gt;0,"Rule of Thumb (TE) set @",IF('DATA INPUT'!H7&gt;0,"Rule of Thumb (TE) set @","")))</f>
        <v/>
      </c>
      <c r="B43" s="53" t="str">
        <f>IF(A43="Rule of Thumb (TE) set @",D42,"")</f>
        <v/>
      </c>
      <c r="C43" s="46" t="str">
        <f>IF('DATA INPUT'!D7&gt;0,"x long-term average or median rainfall",IF('DATA INPUT'!F7&gt;0,"x long-term average or median rainfall",IF('DATA INPUT'!H7&gt;0,"x long-term average or median rainfall","")))</f>
        <v/>
      </c>
      <c r="D43" s="46"/>
      <c r="E43" s="46"/>
      <c r="F43" s="71"/>
      <c r="G43" s="46"/>
      <c r="H43" s="300" t="s">
        <v>133</v>
      </c>
      <c r="I43" s="301"/>
      <c r="J43" s="301"/>
      <c r="K43" s="301"/>
      <c r="L43" s="328"/>
      <c r="M43" s="197"/>
      <c r="N43" s="9" t="s">
        <v>164</v>
      </c>
      <c r="O43" s="9"/>
      <c r="P43" s="9"/>
      <c r="Q43" s="9"/>
      <c r="R43" s="9"/>
      <c r="S43" s="245"/>
      <c r="T43" s="232"/>
      <c r="U43" s="71"/>
      <c r="V43" s="33"/>
      <c r="W43" s="10"/>
      <c r="X43" s="10"/>
      <c r="Y43" s="10"/>
      <c r="Z43" s="10"/>
      <c r="AA43" s="10"/>
      <c r="AB43" s="10"/>
      <c r="AC43" s="255"/>
    </row>
    <row r="44" spans="1:29" x14ac:dyDescent="0.2">
      <c r="A44" s="203" t="str">
        <f>IF('DATA INPUT'!J7&gt;0,"Rule of Thumb (ETTE) set @","")</f>
        <v/>
      </c>
      <c r="B44" s="53" t="str">
        <f>IF(A44="Rule of Thumb (ETTE) set @",E42,"")</f>
        <v/>
      </c>
      <c r="C44" s="46" t="str">
        <f>IF('DATA INPUT'!J7&gt;0,"x long-term average or median rainfall","")</f>
        <v/>
      </c>
      <c r="D44" s="46"/>
      <c r="E44" s="46"/>
      <c r="F44" s="71"/>
      <c r="G44" s="46"/>
      <c r="H44" s="306"/>
      <c r="I44" s="307"/>
      <c r="J44" s="307"/>
      <c r="K44" s="307"/>
      <c r="L44" s="329"/>
      <c r="M44" s="197"/>
      <c r="N44" s="228" t="s">
        <v>156</v>
      </c>
      <c r="O44" s="229"/>
      <c r="P44" s="229"/>
      <c r="Q44" s="259" t="s">
        <v>160</v>
      </c>
      <c r="R44" s="267"/>
      <c r="S44" s="270" t="s">
        <v>169</v>
      </c>
      <c r="T44" s="271"/>
      <c r="U44" s="272"/>
      <c r="V44" s="33"/>
      <c r="W44" s="10"/>
      <c r="X44" s="10"/>
      <c r="Y44" s="10"/>
      <c r="Z44" s="10"/>
      <c r="AA44" s="10"/>
      <c r="AB44" s="10"/>
      <c r="AC44" s="255"/>
    </row>
    <row r="45" spans="1:29" ht="16" x14ac:dyDescent="0.2">
      <c r="A45" s="65" t="s">
        <v>89</v>
      </c>
      <c r="B45" s="46"/>
      <c r="C45" s="46"/>
      <c r="D45" s="46"/>
      <c r="E45" s="46"/>
      <c r="F45" s="71"/>
      <c r="G45" s="46"/>
      <c r="H45" s="74"/>
      <c r="I45" s="78" t="s">
        <v>134</v>
      </c>
      <c r="J45" s="80" t="s">
        <v>135</v>
      </c>
      <c r="K45" s="80" t="s">
        <v>136</v>
      </c>
      <c r="L45" s="46"/>
      <c r="M45" s="71"/>
      <c r="N45" s="238" t="s">
        <v>158</v>
      </c>
      <c r="O45" s="46"/>
      <c r="P45" s="46"/>
      <c r="Q45" s="264" t="str">
        <f>IF('GENERAL INFORMATION'!$C$8=0,"...",IF('GENERAL INFORMATION'!$E$8=0,"...",CALCULATIONS!AQ3))</f>
        <v>...</v>
      </c>
      <c r="R45" s="268"/>
      <c r="S45" s="9" t="s">
        <v>167</v>
      </c>
      <c r="T45" s="276" t="str">
        <f>IF('GENERAL INFORMATION'!C8=0,"...",IF('GENERAL INFORMATION'!E8=0,"...",CALCULATIONS!AT3))</f>
        <v>...</v>
      </c>
      <c r="U45" s="239"/>
      <c r="V45" s="33"/>
      <c r="W45" s="10"/>
      <c r="X45" s="10"/>
      <c r="Y45" s="10"/>
      <c r="Z45" s="10"/>
      <c r="AA45" s="10"/>
      <c r="AB45" s="10"/>
      <c r="AC45" s="255"/>
    </row>
    <row r="46" spans="1:29" ht="16" x14ac:dyDescent="0.2">
      <c r="A46" s="74" t="s">
        <v>170</v>
      </c>
      <c r="B46" s="215" t="e">
        <f>IF(B44="",A47,IF(B43="",B47,"0"))</f>
        <v>#VALUE!</v>
      </c>
      <c r="C46" s="295" t="s">
        <v>122</v>
      </c>
      <c r="D46" s="296"/>
      <c r="E46" s="213" t="e">
        <f>(B46*E34)/1000</f>
        <v>#VALUE!</v>
      </c>
      <c r="F46" s="101" t="s">
        <v>121</v>
      </c>
      <c r="G46" s="46"/>
      <c r="H46" s="133" t="s">
        <v>115</v>
      </c>
      <c r="I46" s="134"/>
      <c r="J46" s="213" t="e">
        <f>I46/B34</f>
        <v>#VALUE!</v>
      </c>
      <c r="K46" s="213" t="e">
        <f>I46/B46</f>
        <v>#VALUE!</v>
      </c>
      <c r="L46" s="91" t="e">
        <f>IF(K46&lt;0,"NO THINNING","")</f>
        <v>#VALUE!</v>
      </c>
      <c r="M46" s="71"/>
      <c r="N46" s="238" t="s">
        <v>157</v>
      </c>
      <c r="O46" s="233"/>
      <c r="P46" s="233"/>
      <c r="Q46" s="264" t="str">
        <f>IF('GENERAL INFORMATION'!$C$8=0,"...",IF('GENERAL INFORMATION'!$E$8=0,"...",CALCULATIONS!AQ4))</f>
        <v>...</v>
      </c>
      <c r="R46" s="269"/>
      <c r="S46" s="9" t="s">
        <v>168</v>
      </c>
      <c r="T46" s="276" t="str">
        <f>IF('GENERAL INFORMATION'!C8=0,"...",IF('GENERAL INFORMATION'!E8=0,"...",CALCULATIONS!AT4))</f>
        <v>...</v>
      </c>
      <c r="U46" s="239"/>
      <c r="V46" s="33"/>
      <c r="W46" s="10"/>
      <c r="X46" s="10"/>
      <c r="Y46" s="10"/>
      <c r="Z46" s="10"/>
      <c r="AA46" s="10"/>
      <c r="AB46" s="10"/>
      <c r="AC46" s="255"/>
    </row>
    <row r="47" spans="1:29" ht="17" thickBot="1" x14ac:dyDescent="0.25">
      <c r="A47" s="52" t="e">
        <f>IF((B42*B43)&gt;0,((D28-(B42*B43))*B34)/D28,0)</f>
        <v>#VALUE!</v>
      </c>
      <c r="B47" s="51" t="e">
        <f>IF((B42*B44)&gt;0,((C28-(B42*B44))*B34)/C28,0)</f>
        <v>#VALUE!</v>
      </c>
      <c r="C47" s="46"/>
      <c r="D47" s="46"/>
      <c r="E47" s="46"/>
      <c r="F47" s="71"/>
      <c r="G47" s="135"/>
      <c r="H47" s="65"/>
      <c r="I47" s="78" t="s">
        <v>144</v>
      </c>
      <c r="J47" s="80"/>
      <c r="K47" s="78"/>
      <c r="L47" s="46"/>
      <c r="M47" s="71"/>
      <c r="N47" s="238" t="s">
        <v>154</v>
      </c>
      <c r="O47" s="233"/>
      <c r="P47" s="233"/>
      <c r="Q47" s="264" t="str">
        <f>IF('GENERAL INFORMATION'!$C$8=0,"...",IF('GENERAL INFORMATION'!$E$8=0,"...",CALCULATIONS!AQ5))</f>
        <v>...</v>
      </c>
      <c r="R47" s="269"/>
      <c r="S47" s="9" t="s">
        <v>165</v>
      </c>
      <c r="T47" s="276" t="str">
        <f>IF('GENERAL INFORMATION'!C8=0,"...",IF('GENERAL INFORMATION'!E8=0,"...",CALCULATIONS!AT5))</f>
        <v>...</v>
      </c>
      <c r="U47" s="239"/>
      <c r="V47" s="33"/>
      <c r="W47" s="10"/>
      <c r="X47" s="10"/>
      <c r="Y47" s="10"/>
      <c r="Z47" s="10"/>
      <c r="AA47" s="10"/>
      <c r="AB47" s="10"/>
      <c r="AC47" s="255"/>
    </row>
    <row r="48" spans="1:29" ht="18" thickTop="1" thickBot="1" x14ac:dyDescent="0.25">
      <c r="A48" s="201" t="str">
        <f>IF(A43="Rule of Thumb (TE) set @","TE/ha",IF(A44="Rule of Thumb (ETTE) set @","ETTE/ha",""))</f>
        <v/>
      </c>
      <c r="B48" s="211" t="str">
        <f>IF(A48="TE/ha",D28,IF(A48="ETTE/ha",C28,""))</f>
        <v/>
      </c>
      <c r="C48" s="293" t="str">
        <f>IF(A48="TE/ha","TE to be removed:",IF(A48="ETTE/ha","TE to be removed:",""))</f>
        <v/>
      </c>
      <c r="D48" s="294"/>
      <c r="E48" s="211" t="e">
        <f>IF(B46=0,"ERROR",IF(A48="TE/ha",(D28-(B42*D42)),IF(A48="ETTE/ha",(D28-(B42*D42)))))</f>
        <v>#VALUE!</v>
      </c>
      <c r="F48" s="202" t="s">
        <v>30</v>
      </c>
      <c r="G48" s="135"/>
      <c r="H48" s="137" t="s">
        <v>115</v>
      </c>
      <c r="I48" s="138"/>
      <c r="J48" s="214" t="e">
        <f>I48/J10</f>
        <v>#VALUE!</v>
      </c>
      <c r="K48" s="214" t="e">
        <f>I48/J18</f>
        <v>#VALUE!</v>
      </c>
      <c r="L48" s="139" t="e">
        <f>IF(K48&lt;0,"NO THINNING","")</f>
        <v>#VALUE!</v>
      </c>
      <c r="M48" s="136"/>
      <c r="N48" s="273" t="s">
        <v>155</v>
      </c>
      <c r="O48" s="240"/>
      <c r="P48" s="240"/>
      <c r="Q48" s="274" t="str">
        <f>IF('GENERAL INFORMATION'!$C$8=0,"...",IF('GENERAL INFORMATION'!$E$8=0,"...",CALCULATIONS!AQ6))</f>
        <v>...</v>
      </c>
      <c r="R48" s="275"/>
      <c r="S48" s="257" t="s">
        <v>166</v>
      </c>
      <c r="T48" s="277" t="str">
        <f>IF('GENERAL INFORMATION'!C8=0,"...",IF('GENERAL INFORMATION'!E8=0,"...",CALCULATIONS!AT6))</f>
        <v>...</v>
      </c>
      <c r="U48" s="241"/>
      <c r="V48" s="256"/>
      <c r="W48" s="257"/>
      <c r="X48" s="257"/>
      <c r="Y48" s="257"/>
      <c r="Z48" s="257"/>
      <c r="AA48" s="257"/>
      <c r="AB48" s="257"/>
      <c r="AC48" s="258"/>
    </row>
    <row r="49" spans="1:16" ht="16" thickTop="1" x14ac:dyDescent="0.2">
      <c r="M49" s="13"/>
      <c r="N49" s="13"/>
      <c r="O49" s="13"/>
      <c r="P49" s="4"/>
    </row>
    <row r="50" spans="1:16" x14ac:dyDescent="0.2">
      <c r="A50" s="6"/>
      <c r="B50" s="13"/>
      <c r="C50" s="13"/>
      <c r="D50" s="13"/>
      <c r="E50" s="13"/>
      <c r="F50" s="13"/>
      <c r="G50" s="13"/>
      <c r="H50" s="13"/>
      <c r="I50" s="13"/>
      <c r="J50" s="13"/>
      <c r="K50" s="13"/>
      <c r="L50" s="13"/>
      <c r="M50" s="13"/>
      <c r="N50" s="13"/>
      <c r="O50" s="13"/>
      <c r="P50" s="4"/>
    </row>
    <row r="51" spans="1:16" x14ac:dyDescent="0.2">
      <c r="A51" s="13"/>
      <c r="B51" s="13"/>
      <c r="C51" s="13"/>
      <c r="D51" s="13"/>
      <c r="E51" s="13"/>
      <c r="F51" s="13"/>
      <c r="G51" s="13"/>
      <c r="H51" s="212"/>
      <c r="I51" s="13"/>
      <c r="J51" s="13"/>
      <c r="K51" s="13"/>
      <c r="L51" s="13"/>
      <c r="M51" s="13"/>
      <c r="N51" s="13"/>
      <c r="O51" s="13"/>
    </row>
    <row r="52" spans="1:16" x14ac:dyDescent="0.2">
      <c r="A52" s="13"/>
      <c r="B52" s="13"/>
      <c r="C52" s="13"/>
      <c r="D52" s="13"/>
      <c r="E52" s="13"/>
      <c r="F52" s="13"/>
      <c r="G52" s="13"/>
      <c r="M52" s="13"/>
      <c r="N52" s="13"/>
      <c r="O52" s="13"/>
    </row>
  </sheetData>
  <sheetProtection algorithmName="SHA-512" hashValue="kZDkcA+/L5Ech4jGbmOWLmhmVhrBFs0tNOH4QF3fSq1Uoibr9IGo/LjaREyGZxFaBH3E0Q8oCo2sL+dBRJSFTw==" saltValue="ZwfC3xUm/lCkFcvaYFTqzg==" spinCount="100000" sheet="1" objects="1" scenarios="1"/>
  <protectedRanges>
    <protectedRange sqref="O46" name="Range3"/>
    <protectedRange sqref="E34 B42 D42:E42 K22 K25 I29:I40" name="Range1"/>
    <protectedRange sqref="I46 I48" name="Range2"/>
  </protectedRanges>
  <dataConsolidate/>
  <mergeCells count="84">
    <mergeCell ref="V38:X38"/>
    <mergeCell ref="V31:X31"/>
    <mergeCell ref="V32:X32"/>
    <mergeCell ref="V33:X33"/>
    <mergeCell ref="V34:X34"/>
    <mergeCell ref="V35:X35"/>
    <mergeCell ref="V28:X28"/>
    <mergeCell ref="V29:X29"/>
    <mergeCell ref="V30:X30"/>
    <mergeCell ref="V36:X36"/>
    <mergeCell ref="V37:X37"/>
    <mergeCell ref="V23:X23"/>
    <mergeCell ref="V24:X24"/>
    <mergeCell ref="V25:X25"/>
    <mergeCell ref="V26:X26"/>
    <mergeCell ref="V27:X27"/>
    <mergeCell ref="V18:X18"/>
    <mergeCell ref="V19:X19"/>
    <mergeCell ref="V20:X20"/>
    <mergeCell ref="V21:X21"/>
    <mergeCell ref="V22:X22"/>
    <mergeCell ref="V13:X13"/>
    <mergeCell ref="V14:X14"/>
    <mergeCell ref="V15:X15"/>
    <mergeCell ref="V16:X16"/>
    <mergeCell ref="V17:X17"/>
    <mergeCell ref="V8:X8"/>
    <mergeCell ref="V9:X9"/>
    <mergeCell ref="V10:X10"/>
    <mergeCell ref="V11:X11"/>
    <mergeCell ref="V12:X12"/>
    <mergeCell ref="V3:X3"/>
    <mergeCell ref="V4:X4"/>
    <mergeCell ref="V5:X5"/>
    <mergeCell ref="V6:X6"/>
    <mergeCell ref="V7:X7"/>
    <mergeCell ref="N12:P12"/>
    <mergeCell ref="N13:P13"/>
    <mergeCell ref="N21:P21"/>
    <mergeCell ref="N22:P22"/>
    <mergeCell ref="N23:P23"/>
    <mergeCell ref="H43:L44"/>
    <mergeCell ref="N16:P16"/>
    <mergeCell ref="N17:P17"/>
    <mergeCell ref="N18:P18"/>
    <mergeCell ref="N19:P19"/>
    <mergeCell ref="H3:L3"/>
    <mergeCell ref="B16:E16"/>
    <mergeCell ref="B8:E8"/>
    <mergeCell ref="B10:E10"/>
    <mergeCell ref="B12:E12"/>
    <mergeCell ref="H14:L15"/>
    <mergeCell ref="N3:P3"/>
    <mergeCell ref="N24:P24"/>
    <mergeCell ref="N25:P25"/>
    <mergeCell ref="N26:P26"/>
    <mergeCell ref="N27:P27"/>
    <mergeCell ref="N4:P4"/>
    <mergeCell ref="N5:P5"/>
    <mergeCell ref="N6:P6"/>
    <mergeCell ref="N7:P7"/>
    <mergeCell ref="N8:P8"/>
    <mergeCell ref="N9:P9"/>
    <mergeCell ref="N10:P10"/>
    <mergeCell ref="N11:P11"/>
    <mergeCell ref="N20:P20"/>
    <mergeCell ref="N14:P14"/>
    <mergeCell ref="N15:P15"/>
    <mergeCell ref="C48:D48"/>
    <mergeCell ref="C46:D46"/>
    <mergeCell ref="N28:P28"/>
    <mergeCell ref="N29:P29"/>
    <mergeCell ref="N30:P30"/>
    <mergeCell ref="N31:P31"/>
    <mergeCell ref="N32:P32"/>
    <mergeCell ref="N33:P33"/>
    <mergeCell ref="N38:P38"/>
    <mergeCell ref="N34:P34"/>
    <mergeCell ref="N35:P35"/>
    <mergeCell ref="N36:P36"/>
    <mergeCell ref="N37:P37"/>
    <mergeCell ref="C34:D34"/>
    <mergeCell ref="A38:F40"/>
    <mergeCell ref="A31:F32"/>
  </mergeCells>
  <conditionalFormatting sqref="C5 E5">
    <cfRule type="cellIs" dxfId="34" priority="90" operator="greaterThan">
      <formula>1</formula>
    </cfRule>
  </conditionalFormatting>
  <conditionalFormatting sqref="A5">
    <cfRule type="containsText" dxfId="33" priority="89" operator="containsText" text="Transect dimensions">
      <formula>NOT(ISERROR(SEARCH("Transect dimensions",A5)))</formula>
    </cfRule>
  </conditionalFormatting>
  <conditionalFormatting sqref="D51">
    <cfRule type="cellIs" priority="85" operator="greaterThanOrEqual">
      <formula>0</formula>
    </cfRule>
  </conditionalFormatting>
  <conditionalFormatting sqref="K25 B42 D42:E42">
    <cfRule type="cellIs" dxfId="32" priority="84" operator="greaterThan">
      <formula>0</formula>
    </cfRule>
  </conditionalFormatting>
  <conditionalFormatting sqref="I46 K22:K23 I48 E34">
    <cfRule type="notContainsBlanks" dxfId="31" priority="77">
      <formula>LEN(TRIM(E22))&gt;0</formula>
    </cfRule>
  </conditionalFormatting>
  <conditionalFormatting sqref="B10:E10">
    <cfRule type="containsText" dxfId="30" priority="53" operator="containsText" text="0">
      <formula>NOT(ISERROR(SEARCH("0",B10)))</formula>
    </cfRule>
  </conditionalFormatting>
  <conditionalFormatting sqref="B12:E12 B16:E16 B48">
    <cfRule type="cellIs" dxfId="29" priority="52" operator="equal">
      <formula>0</formula>
    </cfRule>
  </conditionalFormatting>
  <conditionalFormatting sqref="B8:E8">
    <cfRule type="cellIs" dxfId="28" priority="48" operator="equal">
      <formula>0</formula>
    </cfRule>
    <cfRule type="containsText" dxfId="27" priority="51" operator="containsText" text="0-Jan-00">
      <formula>NOT(ISERROR(SEARCH("0-Jan-00",B8)))</formula>
    </cfRule>
  </conditionalFormatting>
  <conditionalFormatting sqref="I29:I40">
    <cfRule type="cellIs" dxfId="26" priority="47" operator="between">
      <formula>0</formula>
      <formula>100</formula>
    </cfRule>
  </conditionalFormatting>
  <conditionalFormatting sqref="K46 K48">
    <cfRule type="cellIs" dxfId="25" priority="37" operator="lessThan">
      <formula>0</formula>
    </cfRule>
  </conditionalFormatting>
  <conditionalFormatting sqref="B34:B35 B46 E46 J10:J11 J18 L18 J46:L48 S41:T43 Q41:R42 Q44:R44 J29:K40 B48 E48 Q25:T39 Q4:S38 B23:D28">
    <cfRule type="containsErrors" dxfId="24" priority="35">
      <formula>ISERROR(B4)</formula>
    </cfRule>
  </conditionalFormatting>
  <conditionalFormatting sqref="B6">
    <cfRule type="containsText" dxfId="23" priority="33" operator="containsText" text="FALSE">
      <formula>NOT(ISERROR(SEARCH("FALSE",B6)))</formula>
    </cfRule>
  </conditionalFormatting>
  <conditionalFormatting sqref="E48">
    <cfRule type="containsText" dxfId="22" priority="14" operator="containsText" text="ERROR">
      <formula>NOT(ISERROR(SEARCH("ERROR",E48)))</formula>
    </cfRule>
    <cfRule type="containsText" dxfId="21" priority="28" operator="containsText" text="FALSE">
      <formula>NOT(ISERROR(SEARCH("FALSE",E48)))</formula>
    </cfRule>
  </conditionalFormatting>
  <conditionalFormatting sqref="B46 E46 E48 J18 L18 J29:K40">
    <cfRule type="cellIs" dxfId="20" priority="26" operator="lessThan">
      <formula>0</formula>
    </cfRule>
  </conditionalFormatting>
  <conditionalFormatting sqref="D6">
    <cfRule type="containsText" dxfId="19" priority="17" operator="containsText" text="Error - Dual area filled">
      <formula>NOT(ISERROR(SEARCH("Error - Dual area filled",D6)))</formula>
    </cfRule>
    <cfRule type="containsText" dxfId="18" priority="18" operator="containsText" text="FALSE">
      <formula>NOT(ISERROR(SEARCH("FALSE",D6)))</formula>
    </cfRule>
    <cfRule type="containsText" dxfId="17" priority="22" operator="containsText" text="FALSE">
      <formula>NOT(ISERROR(SEARCH("FALSE",D6)))</formula>
    </cfRule>
    <cfRule type="containsText" dxfId="16" priority="23" operator="containsText" text="Error - Dual entry of area">
      <formula>NOT(ISERROR(SEARCH("Error - Dual entry of area",D6)))</formula>
    </cfRule>
    <cfRule type="containsText" dxfId="15" priority="24" operator="containsText" text="FALSE">
      <formula>NOT(ISERROR(SEARCH("FALSE",D6)))</formula>
    </cfRule>
  </conditionalFormatting>
  <conditionalFormatting sqref="C6">
    <cfRule type="cellIs" dxfId="14" priority="19" operator="equal">
      <formula>0</formula>
    </cfRule>
    <cfRule type="cellIs" dxfId="13" priority="20" operator="equal">
      <formula>0</formula>
    </cfRule>
    <cfRule type="cellIs" dxfId="12" priority="21" operator="equal">
      <formula>0</formula>
    </cfRule>
  </conditionalFormatting>
  <conditionalFormatting sqref="C18">
    <cfRule type="containsText" dxfId="11" priority="16" operator="containsText" text="ERROR">
      <formula>NOT(ISERROR(SEARCH("ERROR",C18)))</formula>
    </cfRule>
  </conditionalFormatting>
  <conditionalFormatting sqref="B34 J10">
    <cfRule type="containsText" dxfId="10" priority="13" operator="containsText" text="NO DATA">
      <formula>NOT(ISERROR(SEARCH("NO DATA",B10)))</formula>
    </cfRule>
  </conditionalFormatting>
  <conditionalFormatting sqref="Q4:S38">
    <cfRule type="containsText" dxfId="9" priority="11" operator="containsText" text="...">
      <formula>NOT(ISERROR(SEARCH("...",Q4)))</formula>
    </cfRule>
  </conditionalFormatting>
  <conditionalFormatting sqref="Y4:Y38 AA4:AA38">
    <cfRule type="containsText" dxfId="8" priority="10" operator="containsText" text="...">
      <formula>NOT(ISERROR(SEARCH("...",Y4)))</formula>
    </cfRule>
  </conditionalFormatting>
  <conditionalFormatting sqref="Q45:Q48">
    <cfRule type="containsText" dxfId="7" priority="9" operator="containsText" text="...">
      <formula>NOT(ISERROR(SEARCH("...",Q45)))</formula>
    </cfRule>
  </conditionalFormatting>
  <conditionalFormatting sqref="T45:T48">
    <cfRule type="containsText" dxfId="6" priority="6" operator="containsText" text="...">
      <formula>NOT(ISERROR(SEARCH("...",T45)))</formula>
    </cfRule>
    <cfRule type="containsErrors" dxfId="5" priority="7">
      <formula>ISERROR(T45)</formula>
    </cfRule>
  </conditionalFormatting>
  <conditionalFormatting sqref="B36 J12">
    <cfRule type="containsErrors" dxfId="4" priority="5">
      <formula>ISERROR(B12)</formula>
    </cfRule>
  </conditionalFormatting>
  <conditionalFormatting sqref="Y4:AA39">
    <cfRule type="containsErrors" dxfId="3" priority="4">
      <formula>ISERROR(Y4)</formula>
    </cfRule>
  </conditionalFormatting>
  <conditionalFormatting sqref="J29:K40 Q45:Q48 T45:T46">
    <cfRule type="cellIs" dxfId="2" priority="3" operator="equal">
      <formula>0</formula>
    </cfRule>
  </conditionalFormatting>
  <conditionalFormatting sqref="C18 C5 E5">
    <cfRule type="cellIs" dxfId="1" priority="2" operator="equal">
      <formula>0</formula>
    </cfRule>
  </conditionalFormatting>
  <conditionalFormatting sqref="C14 E14 B28:D28 Q39:S39 Y39 AA39">
    <cfRule type="cellIs" dxfId="0" priority="1" operator="equal">
      <formula>0</formula>
    </cfRule>
  </conditionalFormatting>
  <dataValidations count="8">
    <dataValidation type="list" allowBlank="1" showInputMessage="1" showErrorMessage="1" sqref="K42" xr:uid="{00000000-0002-0000-0200-000000000000}">
      <formula1>"Yes,No"</formula1>
    </dataValidation>
    <dataValidation type="list" allowBlank="1" showInputMessage="1" showErrorMessage="1" sqref="I32 I38" xr:uid="{00000000-0002-0000-0200-000001000000}">
      <formula1>"75,…,0,25,50,100"</formula1>
    </dataValidation>
    <dataValidation type="list" allowBlank="1" showInputMessage="1" showErrorMessage="1" sqref="I39:I40 I29:I31" xr:uid="{00000000-0002-0000-0200-000002000000}">
      <formula1>"25,…,0,50,75,100"</formula1>
    </dataValidation>
    <dataValidation type="list" allowBlank="1" showInputMessage="1" showErrorMessage="1" sqref="I33:I37" xr:uid="{00000000-0002-0000-0200-000003000000}">
      <formula1>"100,…,0,25,50,75"</formula1>
    </dataValidation>
    <dataValidation type="list" allowBlank="1" showInputMessage="1" showErrorMessage="1" sqref="K22" xr:uid="{00000000-0002-0000-0200-000004000000}">
      <formula1>"All plants,Thinning"</formula1>
    </dataValidation>
    <dataValidation type="list" allowBlank="1" showInputMessage="1" showErrorMessage="1" sqref="K25" xr:uid="{00000000-0002-0000-0200-000005000000}">
      <formula1>"0,25,50,75,100"</formula1>
    </dataValidation>
    <dataValidation type="list" allowBlank="1" showInputMessage="1" showErrorMessage="1" sqref="D42" xr:uid="{00000000-0002-0000-0200-000006000000}">
      <formula1>"1.5,…,2,2.5,3,3.5"</formula1>
    </dataValidation>
    <dataValidation type="list" allowBlank="1" showInputMessage="1" showErrorMessage="1" sqref="E42" xr:uid="{00000000-0002-0000-0200-000007000000}">
      <formula1>"10,…,9,11"</formula1>
    </dataValidation>
  </dataValidations>
  <pageMargins left="0.95866141699999996" right="0.93110236199999996" top="0.74803149606299202" bottom="0.74803149606299202" header="0.31496062992126" footer="0.31496062992126"/>
  <pageSetup paperSize="9" orientation="portrait" r:id="rId1"/>
  <drawing r:id="rId2"/>
  <picture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0000"/>
  </sheetPr>
  <dimension ref="A1:AT170"/>
  <sheetViews>
    <sheetView workbookViewId="0">
      <pane ySplit="2" topLeftCell="A3" activePane="bottomLeft" state="frozen"/>
      <selection pane="bottomLeft" activeCell="L3" sqref="L3"/>
    </sheetView>
  </sheetViews>
  <sheetFormatPr baseColWidth="10" defaultColWidth="8.83203125" defaultRowHeight="15" x14ac:dyDescent="0.2"/>
  <cols>
    <col min="1" max="1" width="24.6640625" customWidth="1"/>
    <col min="2" max="2" width="10.33203125" customWidth="1"/>
    <col min="3" max="3" width="15.1640625" customWidth="1"/>
    <col min="4" max="4" width="14.83203125" customWidth="1"/>
    <col min="5" max="5" width="16.6640625" customWidth="1"/>
    <col min="6" max="6" width="13.1640625" bestFit="1" customWidth="1"/>
    <col min="7" max="7" width="18" bestFit="1" customWidth="1"/>
    <col min="8" max="8" width="10" customWidth="1"/>
    <col min="9" max="9" width="10.5" bestFit="1" customWidth="1"/>
    <col min="10" max="10" width="9.33203125" customWidth="1"/>
    <col min="11" max="11" width="11.5" bestFit="1" customWidth="1"/>
    <col min="12" max="12" width="10.5" bestFit="1" customWidth="1"/>
    <col min="14" max="14" width="19.33203125" customWidth="1"/>
    <col min="15" max="15" width="10.6640625" customWidth="1"/>
    <col min="16" max="16" width="14.6640625" customWidth="1"/>
    <col min="17" max="17" width="17" customWidth="1"/>
    <col min="19" max="19" width="12.83203125" bestFit="1" customWidth="1"/>
    <col min="20" max="20" width="12.83203125" customWidth="1"/>
    <col min="23" max="23" width="11.1640625" bestFit="1" customWidth="1"/>
    <col min="24" max="24" width="12.1640625" bestFit="1" customWidth="1"/>
    <col min="25" max="25" width="20" bestFit="1" customWidth="1"/>
    <col min="26" max="26" width="19.6640625" bestFit="1" customWidth="1"/>
    <col min="28" max="28" width="20.5" bestFit="1" customWidth="1"/>
    <col min="33" max="33" width="9.5" bestFit="1" customWidth="1"/>
    <col min="36" max="36" width="10.5" bestFit="1" customWidth="1"/>
    <col min="37" max="37" width="11.5" bestFit="1" customWidth="1"/>
    <col min="41" max="41" width="13.6640625" bestFit="1" customWidth="1"/>
  </cols>
  <sheetData>
    <row r="1" spans="1:46" x14ac:dyDescent="0.2">
      <c r="B1" s="29" t="s">
        <v>19</v>
      </c>
      <c r="C1" s="29"/>
      <c r="D1" s="29" t="s">
        <v>131</v>
      </c>
      <c r="E1" s="29"/>
      <c r="F1" s="29"/>
      <c r="G1" s="31"/>
      <c r="H1" s="31"/>
      <c r="O1" s="30" t="s">
        <v>20</v>
      </c>
      <c r="P1" s="30"/>
      <c r="Q1" s="30" t="s">
        <v>131</v>
      </c>
      <c r="R1" s="30"/>
      <c r="S1" s="30"/>
      <c r="T1" s="30"/>
      <c r="V1" t="s">
        <v>42</v>
      </c>
      <c r="AC1" s="332" t="s">
        <v>42</v>
      </c>
      <c r="AD1" s="332"/>
      <c r="AE1" s="332" t="s">
        <v>80</v>
      </c>
      <c r="AF1" s="332"/>
      <c r="AG1" s="332" t="s">
        <v>71</v>
      </c>
      <c r="AH1" s="332"/>
      <c r="AJ1" s="332" t="s">
        <v>125</v>
      </c>
      <c r="AK1" s="332"/>
      <c r="AL1" s="332" t="s">
        <v>126</v>
      </c>
      <c r="AM1" s="332"/>
      <c r="AN1" s="230"/>
      <c r="AQ1" t="s">
        <v>147</v>
      </c>
    </row>
    <row r="2" spans="1:46" x14ac:dyDescent="0.2">
      <c r="A2" s="165" t="s">
        <v>26</v>
      </c>
      <c r="B2" s="5" t="s">
        <v>7</v>
      </c>
      <c r="C2" s="5" t="s">
        <v>8</v>
      </c>
      <c r="D2" s="6" t="s">
        <v>58</v>
      </c>
      <c r="E2" s="22" t="s">
        <v>59</v>
      </c>
      <c r="F2" s="22" t="s">
        <v>60</v>
      </c>
      <c r="G2" s="60" t="s">
        <v>127</v>
      </c>
      <c r="H2" s="56"/>
      <c r="I2" s="60" t="s">
        <v>128</v>
      </c>
      <c r="J2" s="60" t="s">
        <v>129</v>
      </c>
      <c r="K2" s="60" t="s">
        <v>130</v>
      </c>
      <c r="L2" s="15" t="s">
        <v>49</v>
      </c>
      <c r="N2" s="165" t="s">
        <v>26</v>
      </c>
      <c r="O2" s="5" t="s">
        <v>7</v>
      </c>
      <c r="P2" s="5" t="s">
        <v>8</v>
      </c>
      <c r="Q2" s="6" t="s">
        <v>58</v>
      </c>
      <c r="R2" s="22" t="s">
        <v>59</v>
      </c>
      <c r="S2" s="22" t="s">
        <v>60</v>
      </c>
      <c r="T2" s="60" t="s">
        <v>127</v>
      </c>
      <c r="V2" s="17" t="s">
        <v>25</v>
      </c>
      <c r="W2" s="17" t="s">
        <v>23</v>
      </c>
      <c r="X2" s="17" t="s">
        <v>24</v>
      </c>
      <c r="Y2" s="32" t="s">
        <v>70</v>
      </c>
      <c r="Z2" s="22" t="s">
        <v>67</v>
      </c>
      <c r="AB2" s="54" t="s">
        <v>26</v>
      </c>
      <c r="AC2" s="54" t="s">
        <v>111</v>
      </c>
      <c r="AD2" s="54" t="s">
        <v>42</v>
      </c>
      <c r="AE2" s="55" t="s">
        <v>111</v>
      </c>
      <c r="AF2" s="54" t="s">
        <v>80</v>
      </c>
      <c r="AG2" s="55" t="s">
        <v>111</v>
      </c>
      <c r="AH2" s="54" t="s">
        <v>71</v>
      </c>
      <c r="AJ2" s="56" t="s">
        <v>111</v>
      </c>
      <c r="AK2" s="56" t="s">
        <v>113</v>
      </c>
      <c r="AL2" s="56" t="s">
        <v>111</v>
      </c>
      <c r="AM2" s="56" t="s">
        <v>114</v>
      </c>
      <c r="AN2" s="60"/>
    </row>
    <row r="3" spans="1:46" x14ac:dyDescent="0.2">
      <c r="A3" s="16">
        <f>'DATA INPUT'!C7</f>
        <v>0</v>
      </c>
      <c r="B3" s="11" t="b">
        <f>IF('DATA INPUT'!B7="T. ser",0.1656*'DATA INPUT'!D7^1.4655,IF('DATA INPUT'!B7="S. mel",135.53*'DATA INPUT'!D7^3.8701/1000,IF('DATA INPUT'!B7="V. ref",143.01*'DATA INPUT'!D7^3.3147/1000,IF('DATA INPUT'!B7=1,143.35*'DATA INPUT'!D7^3.6046/1000,IF('DATA INPUT'!B7=2,0.1656*'DATA INPUT'!D7^1.4655,FALSE)))))</f>
        <v>0</v>
      </c>
      <c r="C3" s="8" t="b">
        <f>IF('DATA INPUT'!B7="T. ser",0.3356*'DATA INPUT'!E7^0.9984,IF('DATA INPUT'!B7="S. mel",24.906*'DATA INPUT'!E7^4.7681/1000,IF('DATA INPUT'!B7="V. ref",118.45*'DATA INPUT'!E7^3.5959/1000,IF('DATA INPUT'!B7=1,55.075*'DATA INPUT'!E7^4.0991/1000,IF('DATA INPUT'!B7=2,0.3356*'DATA INPUT'!E7^0.9984,FALSE)))))</f>
        <v>0</v>
      </c>
      <c r="D3" s="18" t="b">
        <f>IF('DATA INPUT'!B7="T. ser",0.0615*('DATA INPUT'!F7*'DATA INPUT'!G7)^0.9573,IF('DATA INPUT'!B7="S. mel",46.162*('DATA INPUT'!F7*'DATA INPUT'!G7)^2.3652/1000,IF('DATA INPUT'!B7="V. ref",90.34*('DATA INPUT'!F7*'DATA INPUT'!G7)^1.9756/1000,IF('DATA INPUT'!B7=1,63.022*('DATA INPUT'!F7*'DATA INPUT'!G7)^2.1551/1000,IF('DATA INPUT'!B7=2,0.0615*('DATA INPUT'!F7*'DATA INPUT'!G7)^0.9573,FALSE)))))</f>
        <v>0</v>
      </c>
      <c r="E3" s="8" t="b">
        <f>IF('DATA INPUT'!B7="T. ser",5.0562*('DATA INPUT'!H7*'DATA INPUT'!I7)^0.9574,IF('DATA INPUT'!B7="S. mel",44047*('DATA INPUT'!H7*'DATA INPUT'!I7)^1.5456/1000,IF('DATA INPUT'!B7="V. ref",91930*('DATA INPUT'!H7*'DATA INPUT'!I7)^1.7774/1000,IF('DATA INPUT'!B7=1,62601*('DATA INPUT'!H7*'DATA INPUT'!I7)^1.6463/1000,IF('DATA INPUT'!B7=2,5.0562*('DATA INPUT'!H7*'DATA INPUT'!I7)^0.9574,FALSE)))))</f>
        <v>0</v>
      </c>
      <c r="F3" s="18" t="b">
        <f>IF('DATA INPUT'!B7="T. ser",0.0009*I3^0.4477,IF('DATA INPUT'!B7="S. mel",0.0000004*I3^1.4912/1000,IF('DATA INPUT'!B7="V. ref",0.00000005*I3^1.6284/1000,IF('DATA INPUT'!B7=1,0.0000007*I3^1.4601/1000,IF('DATA INPUT'!B7=2,0.0009*I3^0.4477,FALSE)))))</f>
        <v>0</v>
      </c>
      <c r="G3" s="57">
        <f>SUM(B3:F3)</f>
        <v>0</v>
      </c>
      <c r="H3" s="57"/>
      <c r="I3" s="2" t="b">
        <f>IF('DATA INPUT'!B7="T. ser",3.142*'DATA INPUT'!N7^2*'DATA INPUT'!O7/3+3.142*'DATA INPUT'!P7^2/3*(3*'DATA INPUT'!N7-'DATA INPUT'!P7),IF('DATA INPUT'!B7="S. mel",3.142*'DATA INPUT'!N7^2*'DATA INPUT'!O7/3+3.142*'DATA INPUT'!P7^2/3*(3*'DATA INPUT'!N7-'DATA INPUT'!P7),IF('DATA INPUT'!B7="V. ref",3.142*'DATA INPUT'!N7^2*'DATA INPUT'!O7/3+3.142*'DATA INPUT'!P7^2/3*(3*'DATA INPUT'!N7-'DATA INPUT'!P7),IF('DATA INPUT'!B7=1,3.142*'DATA INPUT'!N7^2*'DATA INPUT'!O7/3+3.142*'DATA INPUT'!P7^2/3*(3*'DATA INPUT'!N7-'DATA INPUT'!P7),IF('DATA INPUT'!B7=2,3.142*'DATA INPUT'!N7^2*'DATA INPUT'!O7/3+3.142*'DATA INPUT'!P7^2/3*(3*'DATA INPUT'!N7-'DATA INPUT'!P7),FALSE)))))</f>
        <v>0</v>
      </c>
      <c r="J3" s="2" t="b">
        <f>IF('DATA INPUT'!B7="T. ser",0.0458*CALCULATIONS!I3^0.6841,IF('DATA INPUT'!B7="S. mel",0.6047*CALCULATIONS!I3^0.6433,IF('DATA INPUT'!B7="V. ref",0.77086*CALCULATIONS!I3^0.4936,IF('DATA INPUT'!B7=1,0.68778*CALCULATIONS!I3^0.56845,IF('DATA INPUT'!B7=2,0.0458*CALCULATIONS!I3^0.6841,FALSE)))))</f>
        <v>0</v>
      </c>
      <c r="K3" s="3">
        <f>J3/500</f>
        <v>0</v>
      </c>
      <c r="L3" s="3" t="b">
        <f>IF('DATA INPUT'!B7="T. ser",('DATA INPUT'!D7+'DATA INPUT'!F7+'DATA INPUT'!H7+'DATA INPUT'!J7)/1.5,IF('DATA INPUT'!B7="V. ref",('DATA INPUT'!D7+'DATA INPUT'!F7+'DATA INPUT'!H7+'DATA INPUT'!J7)/1.5,IF('DATA INPUT'!B7="S. mel",('DATA INPUT'!D7+'DATA INPUT'!F7+'DATA INPUT'!H7+'DATA INPUT'!J7)/1.5,IF('DATA INPUT'!B7=1,('DATA INPUT'!D7+'DATA INPUT'!F7+'DATA INPUT'!H7+'DATA INPUT'!J7)/1.5,IF('DATA INPUT'!B7=2,('DATA INPUT'!D7+'DATA INPUT'!F7+'DATA INPUT'!H7+'DATA INPUT'!J7)/1.5,FALSE)))))</f>
        <v>0</v>
      </c>
      <c r="N3" s="16">
        <f>'DATA INPUT'!C7</f>
        <v>0</v>
      </c>
      <c r="O3" s="3" t="b">
        <f>IF('DATA INPUT'!B7="T. ser",0.3446*'DATA INPUT'!D7^1.0619,IF('DATA INPUT'!B7="S. mel",(1270.6*'DATA INPUT'!D7^2.0933)/1000,IF('DATA INPUT'!B7="V. ref",(816.25*'DATA INPUT'!D7^2.1754)/1000,IF('DATA INPUT'!B7=1,(1492.4*'DATA INPUT'!D7^1.7591)/1000,IF('DATA INPUT'!B7=2,0.3446*'DATA INPUT'!D7^1.0619,FALSE)))))</f>
        <v>0</v>
      </c>
      <c r="P3" s="3" t="b">
        <f>IF('DATA INPUT'!B7="T. ser",0.3662*'DATA INPUT'!E7^1.5061,IF('DATA INPUT'!B7="S. mel",(748.47*'DATA INPUT'!E7^2.2691)/1000,IF('DATA INPUT'!B7="V. ref",(953.69*'DATA INPUT'!E7^1.9524)/1000,IF('DATA INPUT'!B7=1,(695.02*'DATA INPUT'!E7^2.3452)/1000,IF('DATA INPUT'!B7=2,0.3662*'DATA INPUT'!E7^1.5061,FALSE)))))</f>
        <v>0</v>
      </c>
      <c r="Q3" s="3" t="b">
        <f>IF('DATA INPUT'!B7="T. ser",0.1225*('DATA INPUT'!F7*'DATA INPUT'!G7)^0.8272,IF('DATA INPUT'!B7="S. mel",(925.08*('DATA INPUT'!F7*'DATA INPUT'!G7)^1.1603)/1000,IF('DATA INPUT'!B7="V. ref",(776.29*('DATA INPUT'!F7*'DATA INPUT'!G7)^1.1226)/1000,IF('DATA INPUT'!B7=1,(884.6*('DATA INPUT'!F7*'DATA INPUT'!G7)^1.129)/1000,IF('DATA INPUT'!B7=2,0.1225*('DATA INPUT'!F7*'DATA INPUT'!G7)^0.8272,FALSE)))))</f>
        <v>0</v>
      </c>
      <c r="R3" s="3" t="b">
        <f>IF('DATA INPUT'!B7="T. ser",5.5287*('DATA INPUT'!H7*'DATA INPUT'!I7)^0.8272,IF('DATA INPUT'!B7="S. mel",(31469*('DATA INPUT'!H7*'DATA INPUT'!I7)^0.8608)/1000,IF('DATA INPUT'!B7="V. ref",(39394*('DATA INPUT'!H7*'DATA INPUT'!I7)^1.005)/1000,IF('DATA INPUT'!B7=1,(31791*('DATA INPUT'!H7*'DATA INPUT'!I7)^0.8467)/1000,IF('DATA INPUT'!B7=2,5.5287*('DATA INPUT'!H7*'DATA INPUT'!I7)^0.8272,FALSE)))))</f>
        <v>0</v>
      </c>
      <c r="S3" s="3" t="b">
        <f>IF('DATA INPUT'!B7="T. ser",0.0005*I3^0.5148,IF('DATA INPUT'!B7="S. mel",0.051*I3^0.7789/1000,IF('DATA INPUT'!B7="V. ref",0.0958*I3^0.7253/1000,IF('DATA INPUT'!B7=1,0.0426*I3^0.786/1000,IF('DATA INPUT'!B7=2,0.0005*I3^0.5148,FALSE)))))</f>
        <v>0</v>
      </c>
      <c r="T3" s="59">
        <f>SUM(O3:S3)</f>
        <v>0</v>
      </c>
      <c r="V3">
        <f>COUNTIF('DATA INPUT'!C7:C126,"T. sericea")</f>
        <v>0</v>
      </c>
      <c r="W3">
        <f>COUNTIF('DATA INPUT'!C7:C126,"S. mellifera")</f>
        <v>0</v>
      </c>
      <c r="X3">
        <f>COUNTIF('DATA INPUT'!C7:C126,"V. reficience")</f>
        <v>0</v>
      </c>
      <c r="Y3">
        <f>COUNTIF('DATA INPUT'!B7:B126,1)</f>
        <v>0</v>
      </c>
      <c r="Z3">
        <f>COUNTIF('DATA INPUT'!B7:B126,2)</f>
        <v>0</v>
      </c>
      <c r="AB3" t="str">
        <f>'DATA INPUT'!Q7</f>
        <v>T. sericea</v>
      </c>
      <c r="AC3" s="2">
        <f>COUNTIF('DATA INPUT'!$C$7:$C$156,'DATA INPUT'!Q7)</f>
        <v>0</v>
      </c>
      <c r="AD3" s="2" t="e">
        <f>AC3*10000/RESULTS_REPORT!$C$18</f>
        <v>#DIV/0!</v>
      </c>
      <c r="AE3" s="2">
        <f>SUMIF($A$3:$A$152,AB3,$K$3:$K$152)</f>
        <v>0</v>
      </c>
      <c r="AF3" s="2" t="e">
        <f>AE3*10000/RESULTS_REPORT!$C$18</f>
        <v>#DIV/0!</v>
      </c>
      <c r="AG3" s="2">
        <f>SUMIF($A$3:$A$152,AB3,$L$3:$L$152)</f>
        <v>0</v>
      </c>
      <c r="AH3" s="2" t="e">
        <f>AG3*10000/RESULTS_REPORT!$C$18</f>
        <v>#DIV/0!</v>
      </c>
      <c r="AJ3" s="3">
        <f>SUMIF($A$3:$A$152,AB3,$G$3:$G$152)</f>
        <v>0</v>
      </c>
      <c r="AK3" s="2" t="e">
        <f>AJ3*10000/RESULTS_REPORT!$C$18</f>
        <v>#DIV/0!</v>
      </c>
      <c r="AL3" s="2">
        <f>SUMIF($N$3:$N$152,AB3,$T$3:$T$152)</f>
        <v>0</v>
      </c>
      <c r="AM3" s="3" t="e">
        <f>AL3*10000/RESULTS_REPORT!$C$18</f>
        <v>#DIV/0!</v>
      </c>
      <c r="AN3" s="3"/>
      <c r="AO3" t="s">
        <v>152</v>
      </c>
      <c r="AP3" t="s">
        <v>148</v>
      </c>
      <c r="AQ3" s="3">
        <f>COUNTIF(L3:L152,"&gt;0")-COUNTIF(L3:L152,"&gt;1")</f>
        <v>0</v>
      </c>
      <c r="AR3" s="3"/>
      <c r="AS3" t="s">
        <v>167</v>
      </c>
      <c r="AT3">
        <f>MAXA(L3:L152)*1.5</f>
        <v>0</v>
      </c>
    </row>
    <row r="4" spans="1:46" x14ac:dyDescent="0.2">
      <c r="A4" s="16">
        <f>'DATA INPUT'!C8</f>
        <v>0</v>
      </c>
      <c r="B4" s="11" t="b">
        <f>IF('DATA INPUT'!B8="T. ser",0.1656*'DATA INPUT'!D8^1.4655,IF('DATA INPUT'!B8="S. mel",135.53*'DATA INPUT'!D8^3.8701/1000,IF('DATA INPUT'!B8="V. ref",143.01*'DATA INPUT'!D8^3.3147/1000,IF('DATA INPUT'!B8=1,143.35*'DATA INPUT'!D8^3.6046/1000,IF('DATA INPUT'!B8=2,0.1656*'DATA INPUT'!D8^1.4655,FALSE)))))</f>
        <v>0</v>
      </c>
      <c r="C4" s="8" t="b">
        <f>IF('DATA INPUT'!B8="T. ser",0.3356*'DATA INPUT'!E8^0.9984,IF('DATA INPUT'!B8="S. mel",24.906*'DATA INPUT'!E8^4.7681/1000,IF('DATA INPUT'!B8="V. ref",118.45*'DATA INPUT'!E8^3.5959/1000,IF('DATA INPUT'!B8=1,55.075*'DATA INPUT'!E8^4.0991/1000,IF('DATA INPUT'!B8=2,0.3356*'DATA INPUT'!E8^0.9984,FALSE)))))</f>
        <v>0</v>
      </c>
      <c r="D4" s="18" t="b">
        <f>IF('DATA INPUT'!B8="T. ser",0.0615*('DATA INPUT'!F8*'DATA INPUT'!G8)^0.9573,IF('DATA INPUT'!B8="S. mel",46.162*('DATA INPUT'!F8*'DATA INPUT'!G8)^2.3652/1000,IF('DATA INPUT'!B8="V. ref",90.34*('DATA INPUT'!F8*'DATA INPUT'!G8)^1.9756/1000,IF('DATA INPUT'!B8=1,63.022*('DATA INPUT'!F8*'DATA INPUT'!G8)^2.1551/1000,IF('DATA INPUT'!B8=2,0.0615*('DATA INPUT'!F8*'DATA INPUT'!G8)^0.9573,FALSE)))))</f>
        <v>0</v>
      </c>
      <c r="E4" s="8" t="b">
        <f>IF('DATA INPUT'!B8="T. ser",5.0562*('DATA INPUT'!H8*'DATA INPUT'!I8)^0.9574,IF('DATA INPUT'!B8="S. mel",44047*('DATA INPUT'!H8*'DATA INPUT'!I8)^1.5456/1000,IF('DATA INPUT'!B8="V. ref",91930*('DATA INPUT'!H8*'DATA INPUT'!I8)^1.7774/1000,IF('DATA INPUT'!B8=1,62601*('DATA INPUT'!H8*'DATA INPUT'!I8)^1.6463/1000,IF('DATA INPUT'!B8=2,5.0562*('DATA INPUT'!H8*'DATA INPUT'!I8)^0.9574,FALSE)))))</f>
        <v>0</v>
      </c>
      <c r="F4" s="18" t="b">
        <f>IF('DATA INPUT'!B8="T. ser",0.0009*I4^0.4477,IF('DATA INPUT'!B8="S. mel",0.0000004*I4^1.4912/1000,IF('DATA INPUT'!B8="V. ref",0.00000005*I4^1.6284/1000,IF('DATA INPUT'!B8=1,0.0000007*I4^1.4601/1000,IF('DATA INPUT'!B8=2,0.0009*I4^0.4477,FALSE)))))</f>
        <v>0</v>
      </c>
      <c r="G4" s="57">
        <f t="shared" ref="G4:G52" si="0">SUM(B4:F4)</f>
        <v>0</v>
      </c>
      <c r="H4" s="57"/>
      <c r="I4" s="2" t="b">
        <f>IF('DATA INPUT'!B8="T. ser",3.142*'DATA INPUT'!N8^2*'DATA INPUT'!O8/3+3.142*'DATA INPUT'!P8^2/3*(3*'DATA INPUT'!N8-'DATA INPUT'!P8),IF('DATA INPUT'!B8="S. mel",3.142*'DATA INPUT'!N8^2*'DATA INPUT'!O8/3+3.142*'DATA INPUT'!P8^2/3*(3*'DATA INPUT'!N8-'DATA INPUT'!P8),IF('DATA INPUT'!B8="V. ref",3.142*'DATA INPUT'!N8^2*'DATA INPUT'!O8/3+3.142*'DATA INPUT'!P8^2/3*(3*'DATA INPUT'!N8-'DATA INPUT'!P8),IF('DATA INPUT'!B8=1,3.142*'DATA INPUT'!N8^2*'DATA INPUT'!O8/3+3.142*'DATA INPUT'!P8^2/3*(3*'DATA INPUT'!N8-'DATA INPUT'!P8),IF('DATA INPUT'!B8=2,3.142*'DATA INPUT'!N8^2*'DATA INPUT'!O8/3+3.142*'DATA INPUT'!P8^2/3*(3*'DATA INPUT'!N8-'DATA INPUT'!P8),FALSE)))))</f>
        <v>0</v>
      </c>
      <c r="J4" s="2" t="b">
        <f>IF('DATA INPUT'!B8="T. ser",0.0458*CALCULATIONS!I4^0.6841,IF('DATA INPUT'!B8="S. mel",0.6047*CALCULATIONS!I4^0.6433,IF('DATA INPUT'!B8="V. ref",0.77086*CALCULATIONS!I4^0.4936,IF('DATA INPUT'!B8=1,0.68778*CALCULATIONS!I4^0.56845,IF('DATA INPUT'!B8=2,0.0458*CALCULATIONS!I4^0.6841,FALSE)))))</f>
        <v>0</v>
      </c>
      <c r="K4" s="3">
        <f t="shared" ref="K4:K52" si="1">J4/500</f>
        <v>0</v>
      </c>
      <c r="L4" s="3" t="b">
        <f>IF('DATA INPUT'!B8="T. ser",('DATA INPUT'!D8+'DATA INPUT'!F8+'DATA INPUT'!H8+'DATA INPUT'!J8)/1.5,IF('DATA INPUT'!B8="V. ref",('DATA INPUT'!D8+'DATA INPUT'!F8+'DATA INPUT'!H8+'DATA INPUT'!J8)/1.5,IF('DATA INPUT'!B8="S. mel",('DATA INPUT'!D8+'DATA INPUT'!F8+'DATA INPUT'!H8+'DATA INPUT'!J8)/1.5,IF('DATA INPUT'!B8=1,('DATA INPUT'!D8+'DATA INPUT'!F8+'DATA INPUT'!H8+'DATA INPUT'!J8)/1.5,IF('DATA INPUT'!B8=2,('DATA INPUT'!D8+'DATA INPUT'!F8+'DATA INPUT'!H8+'DATA INPUT'!J8)/1.5,FALSE)))))</f>
        <v>0</v>
      </c>
      <c r="N4" s="16">
        <f>'DATA INPUT'!C8</f>
        <v>0</v>
      </c>
      <c r="O4" s="3" t="b">
        <f>IF('DATA INPUT'!B8="T. ser",0.3446*'DATA INPUT'!D8^1.0619,IF('DATA INPUT'!B8="S. mel",(1270.6*'DATA INPUT'!D8^2.0933)/1000,IF('DATA INPUT'!B8="V. ref",(816.25*'DATA INPUT'!D8^2.1754)/1000,IF('DATA INPUT'!B8=1,(1492.4*'DATA INPUT'!D8^1.7591)/1000,IF('DATA INPUT'!B8=2,0.3446*'DATA INPUT'!D8^1.0619,FALSE)))))</f>
        <v>0</v>
      </c>
      <c r="P4" s="3" t="b">
        <f>IF('DATA INPUT'!B8="T. ser",0.3662*'DATA INPUT'!E8^1.5061,IF('DATA INPUT'!B8="S. mel",(748.47*'DATA INPUT'!E8^2.2691)/1000,IF('DATA INPUT'!B8="V. ref",(953.69*'DATA INPUT'!E8^1.9524)/1000,IF('DATA INPUT'!B8=1,(695.02*'DATA INPUT'!E8^2.3452)/1000,IF('DATA INPUT'!B8=2,0.3662*'DATA INPUT'!E8^1.5061,FALSE)))))</f>
        <v>0</v>
      </c>
      <c r="Q4" s="3" t="b">
        <f>IF('DATA INPUT'!B8="T. ser",0.1225*('DATA INPUT'!F8*'DATA INPUT'!G8)^0.8272,IF('DATA INPUT'!B8="S. mel",(925.08*('DATA INPUT'!F8*'DATA INPUT'!G8)^1.1603)/1000,IF('DATA INPUT'!B8="V. ref",(776.29*('DATA INPUT'!F8*'DATA INPUT'!G8)^1.1226)/1000,IF('DATA INPUT'!B8=1,(884.6*('DATA INPUT'!F8*'DATA INPUT'!G8)^1.129)/1000,IF('DATA INPUT'!B8=2,0.1225*('DATA INPUT'!F8*'DATA INPUT'!G8)^0.8272,FALSE)))))</f>
        <v>0</v>
      </c>
      <c r="R4" s="3" t="b">
        <f>IF('DATA INPUT'!B8="T. ser",5.5287*('DATA INPUT'!H8*'DATA INPUT'!I8)^0.8272,IF('DATA INPUT'!B8="S. mel",(31469*('DATA INPUT'!H8*'DATA INPUT'!I8)^0.8608)/1000,IF('DATA INPUT'!B8="V. ref",(39394*('DATA INPUT'!H8*'DATA INPUT'!I8)^1.005)/1000,IF('DATA INPUT'!B8=1,(31791*('DATA INPUT'!H8*'DATA INPUT'!I8)^0.8467)/1000,IF('DATA INPUT'!B8=2,5.5287*('DATA INPUT'!H8*'DATA INPUT'!I8)^0.8272,FALSE)))))</f>
        <v>0</v>
      </c>
      <c r="S4" s="3" t="b">
        <f>IF('DATA INPUT'!B8="T. ser",0.0005*I4^0.5148,IF('DATA INPUT'!B8="S. mel",0.051*I4^0.7789/1000,IF('DATA INPUT'!B8="V. ref",0.0958*I4^0.7253/1000,IF('DATA INPUT'!B8=1,0.0426*I4^0.786/1000,IF('DATA INPUT'!B8=2,0.0005*I4^0.5148,FALSE)))))</f>
        <v>0</v>
      </c>
      <c r="T4" s="59">
        <f t="shared" ref="T4:T52" si="2">SUM(O4:S4)</f>
        <v>0</v>
      </c>
      <c r="V4" s="2" t="e">
        <f>V3*10000/RESULTS_REPORT!$C18</f>
        <v>#DIV/0!</v>
      </c>
      <c r="W4" s="2" t="e">
        <f>W3*10000/RESULTS_REPORT!$C18</f>
        <v>#DIV/0!</v>
      </c>
      <c r="X4" s="2" t="e">
        <f>X3*10000/RESULTS_REPORT!$C18</f>
        <v>#DIV/0!</v>
      </c>
      <c r="Y4" s="2" t="e">
        <f>Y3*10000/RESULTS_REPORT!$C18</f>
        <v>#DIV/0!</v>
      </c>
      <c r="Z4" s="2" t="e">
        <f>Z3*10000/RESULTS_REPORT!$C18</f>
        <v>#DIV/0!</v>
      </c>
      <c r="AB4" t="str">
        <f>'DATA INPUT'!Q8</f>
        <v>V. reficience</v>
      </c>
      <c r="AC4" s="2">
        <f>COUNTIF('DATA INPUT'!$C$7:$C$156,'DATA INPUT'!Q8)</f>
        <v>0</v>
      </c>
      <c r="AD4" s="2" t="e">
        <f>AC4*10000/RESULTS_REPORT!$C$18</f>
        <v>#DIV/0!</v>
      </c>
      <c r="AE4" s="2">
        <f t="shared" ref="AE4:AE37" si="3">SUMIF($A$3:$A$152,AB4,$K$3:$K$152)</f>
        <v>0</v>
      </c>
      <c r="AF4" s="2" t="e">
        <f>AE4*10000/RESULTS_REPORT!$C$18</f>
        <v>#DIV/0!</v>
      </c>
      <c r="AG4" s="2">
        <f t="shared" ref="AG4:AG37" si="4">SUMIF($A$3:$A$152,AB4,$L$3:$L$152)</f>
        <v>0</v>
      </c>
      <c r="AH4" s="2" t="e">
        <f>AG4*10000/RESULTS_REPORT!$C$18</f>
        <v>#DIV/0!</v>
      </c>
      <c r="AJ4" s="3">
        <f t="shared" ref="AJ4:AJ37" si="5">SUMIF($A$3:$A$152,AB4,$G$3:$G$152)</f>
        <v>0</v>
      </c>
      <c r="AK4" s="2" t="e">
        <f>AJ4*10000/RESULTS_REPORT!$C$18</f>
        <v>#DIV/0!</v>
      </c>
      <c r="AL4" s="2">
        <f t="shared" ref="AL4:AL37" si="6">SUMIF($N$3:$N$152,AB4,$T$3:$T$152)</f>
        <v>0</v>
      </c>
      <c r="AM4" s="3" t="e">
        <f>AL4*10000/RESULTS_REPORT!$C$18</f>
        <v>#DIV/0!</v>
      </c>
      <c r="AN4" s="3"/>
      <c r="AO4" t="s">
        <v>153</v>
      </c>
      <c r="AP4" t="s">
        <v>149</v>
      </c>
      <c r="AQ4" s="3">
        <f>COUNTIF(L3:L152,"&gt;1")-COUNTIF(L3:L152,"&gt;2")</f>
        <v>0</v>
      </c>
      <c r="AR4" s="3"/>
      <c r="AS4" t="s">
        <v>168</v>
      </c>
      <c r="AT4">
        <f>MIN(L3:L152)*1.5</f>
        <v>0</v>
      </c>
    </row>
    <row r="5" spans="1:46" x14ac:dyDescent="0.2">
      <c r="A5" s="16">
        <f>'DATA INPUT'!C9</f>
        <v>0</v>
      </c>
      <c r="B5" s="11" t="b">
        <f>IF('DATA INPUT'!B9="T. ser",0.1656*'DATA INPUT'!D9^1.4655,IF('DATA INPUT'!B9="S. mel",135.53*'DATA INPUT'!D9^3.8701/1000,IF('DATA INPUT'!B9="V. ref",143.01*'DATA INPUT'!D9^3.3147/1000,IF('DATA INPUT'!B9=1,143.35*'DATA INPUT'!D9^3.6046/1000,IF('DATA INPUT'!B9=2,0.1656*'DATA INPUT'!D9^1.4655,FALSE)))))</f>
        <v>0</v>
      </c>
      <c r="C5" s="8" t="b">
        <f>IF('DATA INPUT'!B9="T. ser",0.3356*'DATA INPUT'!E9^0.9984,IF('DATA INPUT'!B9="S. mel",24.906*'DATA INPUT'!E9^4.7681/1000,IF('DATA INPUT'!B9="V. ref",118.45*'DATA INPUT'!E9^3.5959/1000,IF('DATA INPUT'!B9=1,55.075*'DATA INPUT'!E9^4.0991/1000,IF('DATA INPUT'!B9=2,0.3356*'DATA INPUT'!E9^0.9984,FALSE)))))</f>
        <v>0</v>
      </c>
      <c r="D5" s="18" t="b">
        <f>IF('DATA INPUT'!B9="T. ser",0.0615*('DATA INPUT'!F9*'DATA INPUT'!G9)^0.9573,IF('DATA INPUT'!B9="S. mel",46.162*('DATA INPUT'!F9*'DATA INPUT'!G9)^2.3652/1000,IF('DATA INPUT'!B9="V. ref",90.34*('DATA INPUT'!F9*'DATA INPUT'!G9)^1.9756/1000,IF('DATA INPUT'!B9=1,63.022*('DATA INPUT'!F9*'DATA INPUT'!G9)^2.1551/1000,IF('DATA INPUT'!B9=2,0.0615*('DATA INPUT'!F9*'DATA INPUT'!G9)^0.9573,FALSE)))))</f>
        <v>0</v>
      </c>
      <c r="E5" s="8" t="b">
        <f>IF('DATA INPUT'!B9="T. ser",5.0562*('DATA INPUT'!H9*'DATA INPUT'!I9)^0.9574,IF('DATA INPUT'!B9="S. mel",44047*('DATA INPUT'!H9*'DATA INPUT'!I9)^1.5456/1000,IF('DATA INPUT'!B9="V. ref",91930*('DATA INPUT'!H9*'DATA INPUT'!I9)^1.7774/1000,IF('DATA INPUT'!B9=1,62601*('DATA INPUT'!H9*'DATA INPUT'!I9)^1.6463/1000,IF('DATA INPUT'!B9=2,5.0562*('DATA INPUT'!H9*'DATA INPUT'!I9)^0.9574,FALSE)))))</f>
        <v>0</v>
      </c>
      <c r="F5" s="18" t="b">
        <f>IF('DATA INPUT'!B9="T. ser",0.0009*I5^0.4477,IF('DATA INPUT'!B9="S. mel",0.0000004*I5^1.4912/1000,IF('DATA INPUT'!B9="V. ref",0.00000005*I5^1.6284/1000,IF('DATA INPUT'!B9=1,0.0000007*I5^1.4601/1000,IF('DATA INPUT'!B9=2,0.0009*I5^0.4477,FALSE)))))</f>
        <v>0</v>
      </c>
      <c r="G5" s="57">
        <f t="shared" si="0"/>
        <v>0</v>
      </c>
      <c r="H5" s="57"/>
      <c r="I5" s="2" t="b">
        <f>IF('DATA INPUT'!B9="T. ser",3.142*'DATA INPUT'!N9^2*'DATA INPUT'!O9/3+3.142*'DATA INPUT'!P9^2/3*(3*'DATA INPUT'!N9-'DATA INPUT'!P9),IF('DATA INPUT'!B9="S. mel",3.142*'DATA INPUT'!N9^2*'DATA INPUT'!O9/3+3.142*'DATA INPUT'!P9^2/3*(3*'DATA INPUT'!N9-'DATA INPUT'!P9),IF('DATA INPUT'!B9="V. ref",3.142*'DATA INPUT'!N9^2*'DATA INPUT'!O9/3+3.142*'DATA INPUT'!P9^2/3*(3*'DATA INPUT'!N9-'DATA INPUT'!P9),IF('DATA INPUT'!B9=1,3.142*'DATA INPUT'!N9^2*'DATA INPUT'!O9/3+3.142*'DATA INPUT'!P9^2/3*(3*'DATA INPUT'!N9-'DATA INPUT'!P9),IF('DATA INPUT'!B9=2,3.142*'DATA INPUT'!N9^2*'DATA INPUT'!O9/3+3.142*'DATA INPUT'!P9^2/3*(3*'DATA INPUT'!N9-'DATA INPUT'!P9),FALSE)))))</f>
        <v>0</v>
      </c>
      <c r="J5" s="2" t="b">
        <f>IF('DATA INPUT'!B9="T. ser",0.0458*CALCULATIONS!I5^0.6841,IF('DATA INPUT'!B9="S. mel",0.6047*CALCULATIONS!I5^0.6433,IF('DATA INPUT'!B9="V. ref",0.77086*CALCULATIONS!I5^0.4936,IF('DATA INPUT'!B9=1,0.68778*CALCULATIONS!I5^0.56845,IF('DATA INPUT'!B9=2,0.0458*CALCULATIONS!I5^0.6841,FALSE)))))</f>
        <v>0</v>
      </c>
      <c r="K5" s="3">
        <f t="shared" si="1"/>
        <v>0</v>
      </c>
      <c r="L5" s="3" t="b">
        <f>IF('DATA INPUT'!B9="T. ser",('DATA INPUT'!D9+'DATA INPUT'!F9+'DATA INPUT'!H9+'DATA INPUT'!J9)/1.5,IF('DATA INPUT'!B9="V. ref",('DATA INPUT'!D9+'DATA INPUT'!F9+'DATA INPUT'!H9+'DATA INPUT'!J9)/1.5,IF('DATA INPUT'!B9="S. mel",('DATA INPUT'!D9+'DATA INPUT'!F9+'DATA INPUT'!H9+'DATA INPUT'!J9)/1.5,IF('DATA INPUT'!B9=1,('DATA INPUT'!D9+'DATA INPUT'!F9+'DATA INPUT'!H9+'DATA INPUT'!J9)/1.5,IF('DATA INPUT'!B9=2,('DATA INPUT'!D9+'DATA INPUT'!F9+'DATA INPUT'!H9+'DATA INPUT'!J9)/1.5,FALSE)))))</f>
        <v>0</v>
      </c>
      <c r="N5" s="16">
        <f>'DATA INPUT'!C9</f>
        <v>0</v>
      </c>
      <c r="O5" s="3" t="b">
        <f>IF('DATA INPUT'!B9="T. ser",0.3446*'DATA INPUT'!D9^1.0619,IF('DATA INPUT'!B9="S. mel",(1270.6*'DATA INPUT'!D9^2.0933)/1000,IF('DATA INPUT'!B9="V. ref",(816.25*'DATA INPUT'!D9^2.1754)/1000,IF('DATA INPUT'!B9=1,(1492.4*'DATA INPUT'!D9^1.7591)/1000,IF('DATA INPUT'!B9=2,0.3446*'DATA INPUT'!D9^1.0619,FALSE)))))</f>
        <v>0</v>
      </c>
      <c r="P5" s="3" t="b">
        <f>IF('DATA INPUT'!B9="T. ser",0.3662*'DATA INPUT'!E9^1.5061,IF('DATA INPUT'!B9="S. mel",(748.47*'DATA INPUT'!E9^2.2691)/1000,IF('DATA INPUT'!B9="V. ref",(953.69*'DATA INPUT'!E9^1.9524)/1000,IF('DATA INPUT'!B9=1,(695.02*'DATA INPUT'!E9^2.3452)/1000,IF('DATA INPUT'!B9=2,0.3662*'DATA INPUT'!E9^1.5061,FALSE)))))</f>
        <v>0</v>
      </c>
      <c r="Q5" s="3" t="b">
        <f>IF('DATA INPUT'!B9="T. ser",0.1225*('DATA INPUT'!F9*'DATA INPUT'!G9)^0.8272,IF('DATA INPUT'!B9="S. mel",(925.08*('DATA INPUT'!F9*'DATA INPUT'!G9)^1.1603)/1000,IF('DATA INPUT'!B9="V. ref",(776.29*('DATA INPUT'!F9*'DATA INPUT'!G9)^1.1226)/1000,IF('DATA INPUT'!B9=1,(884.6*('DATA INPUT'!F9*'DATA INPUT'!G9)^1.129)/1000,IF('DATA INPUT'!B9=2,0.1225*('DATA INPUT'!F9*'DATA INPUT'!G9)^0.8272,FALSE)))))</f>
        <v>0</v>
      </c>
      <c r="R5" s="3" t="b">
        <f>IF('DATA INPUT'!B9="T. ser",5.5287*('DATA INPUT'!H9*'DATA INPUT'!I9)^0.8272,IF('DATA INPUT'!B9="S. mel",(31469*('DATA INPUT'!H9*'DATA INPUT'!I9)^0.8608)/1000,IF('DATA INPUT'!B9="V. ref",(39394*('DATA INPUT'!H9*'DATA INPUT'!I9)^1.005)/1000,IF('DATA INPUT'!B9=1,(31791*('DATA INPUT'!H9*'DATA INPUT'!I9)^0.8467)/1000,IF('DATA INPUT'!B9=2,5.5287*('DATA INPUT'!H9*'DATA INPUT'!I9)^0.8272,FALSE)))))</f>
        <v>0</v>
      </c>
      <c r="S5" s="3" t="b">
        <f>IF('DATA INPUT'!B9="T. ser",0.0005*I5^0.5148,IF('DATA INPUT'!B9="S. mel",0.051*I5^0.7789/1000,IF('DATA INPUT'!B9="V. ref",0.0958*I5^0.7253/1000,IF('DATA INPUT'!B9=1,0.0426*I5^0.786/1000,IF('DATA INPUT'!B9=2,0.0005*I5^0.5148,FALSE)))))</f>
        <v>0</v>
      </c>
      <c r="T5" s="59">
        <f t="shared" si="2"/>
        <v>0</v>
      </c>
      <c r="AB5" t="str">
        <f>'DATA INPUT'!Q9</f>
        <v>S. mellifera</v>
      </c>
      <c r="AC5" s="2">
        <f>COUNTIF('DATA INPUT'!$C$7:$C$156,'DATA INPUT'!Q9)</f>
        <v>0</v>
      </c>
      <c r="AD5" s="2" t="e">
        <f>AC5*10000/RESULTS_REPORT!$C$18</f>
        <v>#DIV/0!</v>
      </c>
      <c r="AE5" s="2">
        <f t="shared" si="3"/>
        <v>0</v>
      </c>
      <c r="AF5" s="2" t="e">
        <f>AE5*10000/RESULTS_REPORT!$C$18</f>
        <v>#DIV/0!</v>
      </c>
      <c r="AG5" s="2">
        <f t="shared" si="4"/>
        <v>0</v>
      </c>
      <c r="AH5" s="2" t="e">
        <f>AG5*10000/RESULTS_REPORT!$C$18</f>
        <v>#DIV/0!</v>
      </c>
      <c r="AJ5" s="3">
        <f t="shared" si="5"/>
        <v>0</v>
      </c>
      <c r="AK5" s="2" t="e">
        <f>AJ5*10000/RESULTS_REPORT!$C$18</f>
        <v>#DIV/0!</v>
      </c>
      <c r="AL5" s="2">
        <f t="shared" si="6"/>
        <v>0</v>
      </c>
      <c r="AM5" s="3" t="e">
        <f>AL5*10000/RESULTS_REPORT!$C$18</f>
        <v>#DIV/0!</v>
      </c>
      <c r="AN5" s="3"/>
      <c r="AO5" t="s">
        <v>154</v>
      </c>
      <c r="AP5" t="s">
        <v>150</v>
      </c>
      <c r="AQ5" s="3">
        <f>COUNTIF(L3:L152,"&gt;2")-COUNTIF(L3:L152,"&gt;3")</f>
        <v>0</v>
      </c>
      <c r="AR5" s="3"/>
      <c r="AS5" t="s">
        <v>165</v>
      </c>
      <c r="AT5" t="e">
        <f>MODE(L3:L152)*1.5</f>
        <v>#N/A</v>
      </c>
    </row>
    <row r="6" spans="1:46" x14ac:dyDescent="0.2">
      <c r="A6" s="16">
        <f>'DATA INPUT'!C10</f>
        <v>0</v>
      </c>
      <c r="B6" s="11" t="b">
        <f>IF('DATA INPUT'!B10="T. ser",0.1656*'DATA INPUT'!D10^1.4655,IF('DATA INPUT'!B10="S. mel",135.53*'DATA INPUT'!D10^3.8701/1000,IF('DATA INPUT'!B10="V. ref",143.01*'DATA INPUT'!D10^3.3147/1000,IF('DATA INPUT'!B10=1,143.35*'DATA INPUT'!D10^3.6046/1000,IF('DATA INPUT'!B10=2,0.1656*'DATA INPUT'!D10^1.4655,FALSE)))))</f>
        <v>0</v>
      </c>
      <c r="C6" s="8" t="b">
        <f>IF('DATA INPUT'!B10="T. ser",0.3356*'DATA INPUT'!E10^0.9984,IF('DATA INPUT'!B10="S. mel",24.906*'DATA INPUT'!E10^4.7681/1000,IF('DATA INPUT'!B10="V. ref",118.45*'DATA INPUT'!E10^3.5959/1000,IF('DATA INPUT'!B10=1,55.075*'DATA INPUT'!E10^4.0991/1000,IF('DATA INPUT'!B10=2,0.3356*'DATA INPUT'!E10^0.9984,FALSE)))))</f>
        <v>0</v>
      </c>
      <c r="D6" s="18" t="b">
        <f>IF('DATA INPUT'!B10="T. ser",0.0615*('DATA INPUT'!F10*'DATA INPUT'!G10)^0.9573,IF('DATA INPUT'!B10="S. mel",46.162*('DATA INPUT'!F10*'DATA INPUT'!G10)^2.3652/1000,IF('DATA INPUT'!B10="V. ref",90.34*('DATA INPUT'!F10*'DATA INPUT'!G10)^1.9756/1000,IF('DATA INPUT'!B10=1,63.022*('DATA INPUT'!F10*'DATA INPUT'!G10)^2.1551/1000,IF('DATA INPUT'!B10=2,0.0615*('DATA INPUT'!F10*'DATA INPUT'!G10)^0.9573,FALSE)))))</f>
        <v>0</v>
      </c>
      <c r="E6" s="8" t="b">
        <f>IF('DATA INPUT'!B10="T. ser",5.0562*('DATA INPUT'!H10*'DATA INPUT'!I10)^0.9574,IF('DATA INPUT'!B10="S. mel",44047*('DATA INPUT'!H10*'DATA INPUT'!I10)^1.5456/1000,IF('DATA INPUT'!B10="V. ref",91930*('DATA INPUT'!H10*'DATA INPUT'!I10)^1.7774/1000,IF('DATA INPUT'!B10=1,62601*('DATA INPUT'!H10*'DATA INPUT'!I10)^1.6463/1000,IF('DATA INPUT'!B10=2,5.0562*('DATA INPUT'!H10*'DATA INPUT'!I10)^0.9574,FALSE)))))</f>
        <v>0</v>
      </c>
      <c r="F6" s="18" t="b">
        <f>IF('DATA INPUT'!B10="T. ser",0.0009*I6^0.4477,IF('DATA INPUT'!B10="S. mel",0.0000004*I6^1.4912/1000,IF('DATA INPUT'!B10="V. ref",0.00000005*I6^1.6284/1000,IF('DATA INPUT'!B10=1,0.0000007*I6^1.4601/1000,IF('DATA INPUT'!B10=2,0.0009*I6^0.4477,FALSE)))))</f>
        <v>0</v>
      </c>
      <c r="G6" s="57">
        <f t="shared" si="0"/>
        <v>0</v>
      </c>
      <c r="H6" s="57"/>
      <c r="I6" s="2" t="b">
        <f>IF('DATA INPUT'!B10="T. ser",3.142*'DATA INPUT'!N10^2*'DATA INPUT'!O10/3+3.142*'DATA INPUT'!P10^2/3*(3*'DATA INPUT'!N10-'DATA INPUT'!P10),IF('DATA INPUT'!B10="S. mel",3.142*'DATA INPUT'!N10^2*'DATA INPUT'!O10/3+3.142*'DATA INPUT'!P10^2/3*(3*'DATA INPUT'!N10-'DATA INPUT'!P10),IF('DATA INPUT'!B10="V. ref",3.142*'DATA INPUT'!N10^2*'DATA INPUT'!O10/3+3.142*'DATA INPUT'!P10^2/3*(3*'DATA INPUT'!N10-'DATA INPUT'!P10),IF('DATA INPUT'!B10=1,3.142*'DATA INPUT'!N10^2*'DATA INPUT'!O10/3+3.142*'DATA INPUT'!P10^2/3*(3*'DATA INPUT'!N10-'DATA INPUT'!P10),IF('DATA INPUT'!B10=2,3.142*'DATA INPUT'!N10^2*'DATA INPUT'!O10/3+3.142*'DATA INPUT'!P10^2/3*(3*'DATA INPUT'!N10-'DATA INPUT'!P10),FALSE)))))</f>
        <v>0</v>
      </c>
      <c r="J6" s="2" t="b">
        <f>IF('DATA INPUT'!B10="T. ser",0.0458*CALCULATIONS!I6^0.6841,IF('DATA INPUT'!B10="S. mel",0.6047*CALCULATIONS!I6^0.6433,IF('DATA INPUT'!B10="V. ref",0.77086*CALCULATIONS!I6^0.4936,IF('DATA INPUT'!B10=1,0.68778*CALCULATIONS!I6^0.56845,IF('DATA INPUT'!B10=2,0.0458*CALCULATIONS!I6^0.6841,FALSE)))))</f>
        <v>0</v>
      </c>
      <c r="K6" s="3">
        <f t="shared" si="1"/>
        <v>0</v>
      </c>
      <c r="L6" s="3" t="b">
        <f>IF('DATA INPUT'!B10="T. ser",('DATA INPUT'!D10+'DATA INPUT'!F10+'DATA INPUT'!H10+'DATA INPUT'!J10)/1.5,IF('DATA INPUT'!B10="V. ref",('DATA INPUT'!D10+'DATA INPUT'!F10+'DATA INPUT'!H10+'DATA INPUT'!J10)/1.5,IF('DATA INPUT'!B10="S. mel",('DATA INPUT'!D10+'DATA INPUT'!F10+'DATA INPUT'!H10+'DATA INPUT'!J10)/1.5,IF('DATA INPUT'!B10=1,('DATA INPUT'!D10+'DATA INPUT'!F10+'DATA INPUT'!H10+'DATA INPUT'!J10)/1.5,IF('DATA INPUT'!B10=2,('DATA INPUT'!D10+'DATA INPUT'!F10+'DATA INPUT'!H10+'DATA INPUT'!J10)/1.5,FALSE)))))</f>
        <v>0</v>
      </c>
      <c r="N6" s="16">
        <f>'DATA INPUT'!C10</f>
        <v>0</v>
      </c>
      <c r="O6" s="3" t="b">
        <f>IF('DATA INPUT'!B10="T. ser",0.3446*'DATA INPUT'!D10^1.0619,IF('DATA INPUT'!B10="S. mel",(1270.6*'DATA INPUT'!D10^2.0933)/1000,IF('DATA INPUT'!B10="V. ref",(816.25*'DATA INPUT'!D10^2.1754)/1000,IF('DATA INPUT'!B10=1,(1492.4*'DATA INPUT'!D10^1.7591)/1000,IF('DATA INPUT'!B10=2,0.3446*'DATA INPUT'!D10^1.0619,FALSE)))))</f>
        <v>0</v>
      </c>
      <c r="P6" s="3" t="b">
        <f>IF('DATA INPUT'!B10="T. ser",0.3662*'DATA INPUT'!E10^1.5061,IF('DATA INPUT'!B10="S. mel",(748.47*'DATA INPUT'!E10^2.2691)/1000,IF('DATA INPUT'!B10="V. ref",(953.69*'DATA INPUT'!E10^1.9524)/1000,IF('DATA INPUT'!B10=1,(695.02*'DATA INPUT'!E10^2.3452)/1000,IF('DATA INPUT'!B10=2,0.3662*'DATA INPUT'!E10^1.5061,FALSE)))))</f>
        <v>0</v>
      </c>
      <c r="Q6" s="3" t="b">
        <f>IF('DATA INPUT'!B10="T. ser",0.1225*('DATA INPUT'!F10*'DATA INPUT'!G10)^0.8272,IF('DATA INPUT'!B10="S. mel",(925.08*('DATA INPUT'!F10*'DATA INPUT'!G10)^1.1603)/1000,IF('DATA INPUT'!B10="V. ref",(776.29*('DATA INPUT'!F10*'DATA INPUT'!G10)^1.1226)/1000,IF('DATA INPUT'!B10=1,(884.6*('DATA INPUT'!F10*'DATA INPUT'!G10)^1.129)/1000,IF('DATA INPUT'!B10=2,0.1225*('DATA INPUT'!F10*'DATA INPUT'!G10)^0.8272,FALSE)))))</f>
        <v>0</v>
      </c>
      <c r="R6" s="3" t="b">
        <f>IF('DATA INPUT'!B10="T. ser",5.5287*('DATA INPUT'!H10*'DATA INPUT'!I10)^0.8272,IF('DATA INPUT'!B10="S. mel",(31469*('DATA INPUT'!H10*'DATA INPUT'!I10)^0.8608)/1000,IF('DATA INPUT'!B10="V. ref",(39394*('DATA INPUT'!H10*'DATA INPUT'!I10)^1.005)/1000,IF('DATA INPUT'!B10=1,(31791*('DATA INPUT'!H10*'DATA INPUT'!I10)^0.8467)/1000,IF('DATA INPUT'!B10=2,5.5287*('DATA INPUT'!H10*'DATA INPUT'!I10)^0.8272,FALSE)))))</f>
        <v>0</v>
      </c>
      <c r="S6" s="3" t="b">
        <f>IF('DATA INPUT'!B10="T. ser",0.0005*I6^0.5148,IF('DATA INPUT'!B10="S. mel",0.051*I6^0.7789/1000,IF('DATA INPUT'!B10="V. ref",0.0958*I6^0.7253/1000,IF('DATA INPUT'!B10=1,0.0426*I6^0.786/1000,IF('DATA INPUT'!B10=2,0.0005*I6^0.5148,FALSE)))))</f>
        <v>0</v>
      </c>
      <c r="T6" s="59">
        <f t="shared" si="2"/>
        <v>0</v>
      </c>
      <c r="V6" t="s">
        <v>80</v>
      </c>
      <c r="X6" s="35">
        <f>RESULTS_REPORT!C18</f>
        <v>0</v>
      </c>
      <c r="Y6" t="s">
        <v>91</v>
      </c>
      <c r="AB6" t="str">
        <f>'DATA INPUT'!Q10</f>
        <v>Other(Microphyllous)</v>
      </c>
      <c r="AC6" s="2">
        <f>COUNTIF('DATA INPUT'!$C$7:$C$156,'DATA INPUT'!Q10)</f>
        <v>0</v>
      </c>
      <c r="AD6" s="2" t="e">
        <f>AC6*10000/RESULTS_REPORT!$C$18</f>
        <v>#DIV/0!</v>
      </c>
      <c r="AE6" s="2">
        <f t="shared" si="3"/>
        <v>0</v>
      </c>
      <c r="AF6" s="2" t="e">
        <f>AE6*10000/RESULTS_REPORT!$C$18</f>
        <v>#DIV/0!</v>
      </c>
      <c r="AG6" s="2">
        <f t="shared" si="4"/>
        <v>0</v>
      </c>
      <c r="AH6" s="2" t="e">
        <f>AG6*10000/RESULTS_REPORT!$C$18</f>
        <v>#DIV/0!</v>
      </c>
      <c r="AJ6" s="3">
        <f t="shared" si="5"/>
        <v>0</v>
      </c>
      <c r="AK6" s="2" t="e">
        <f>AJ6*10000/RESULTS_REPORT!$C$18</f>
        <v>#DIV/0!</v>
      </c>
      <c r="AL6" s="2">
        <f t="shared" si="6"/>
        <v>0</v>
      </c>
      <c r="AM6" s="3" t="e">
        <f>AL6*10000/RESULTS_REPORT!$C$18</f>
        <v>#DIV/0!</v>
      </c>
      <c r="AN6" s="3"/>
      <c r="AO6" t="s">
        <v>155</v>
      </c>
      <c r="AP6" t="s">
        <v>151</v>
      </c>
      <c r="AQ6" s="3">
        <f>COUNTIF(L3:L152,"&gt;3")</f>
        <v>0</v>
      </c>
      <c r="AR6" s="3"/>
      <c r="AS6" t="s">
        <v>166</v>
      </c>
      <c r="AT6" t="e">
        <f>MEDIAN(L3:L152)*1.5</f>
        <v>#NUM!</v>
      </c>
    </row>
    <row r="7" spans="1:46" x14ac:dyDescent="0.2">
      <c r="A7" s="16">
        <f>'DATA INPUT'!C11</f>
        <v>0</v>
      </c>
      <c r="B7" s="11" t="b">
        <f>IF('DATA INPUT'!B11="T. ser",0.1656*'DATA INPUT'!D11^1.4655,IF('DATA INPUT'!B11="S. mel",135.53*'DATA INPUT'!D11^3.8701/1000,IF('DATA INPUT'!B11="V. ref",143.01*'DATA INPUT'!D11^3.3147/1000,IF('DATA INPUT'!B11=1,143.35*'DATA INPUT'!D11^3.6046/1000,IF('DATA INPUT'!B11=2,0.1656*'DATA INPUT'!D11^1.4655,FALSE)))))</f>
        <v>0</v>
      </c>
      <c r="C7" s="8" t="b">
        <f>IF('DATA INPUT'!B11="T. ser",0.3356*'DATA INPUT'!E11^0.9984,IF('DATA INPUT'!B11="S. mel",24.906*'DATA INPUT'!E11^4.7681/1000,IF('DATA INPUT'!B11="V. ref",118.45*'DATA INPUT'!E11^3.5959/1000,IF('DATA INPUT'!B11=1,55.075*'DATA INPUT'!E11^4.0991/1000,IF('DATA INPUT'!B11=2,0.3356*'DATA INPUT'!E11^0.9984,FALSE)))))</f>
        <v>0</v>
      </c>
      <c r="D7" s="18" t="b">
        <f>IF('DATA INPUT'!B11="T. ser",0.0615*('DATA INPUT'!F11*'DATA INPUT'!G11)^0.9573,IF('DATA INPUT'!B11="S. mel",46.162*('DATA INPUT'!F11*'DATA INPUT'!G11)^2.3652/1000,IF('DATA INPUT'!B11="V. ref",90.34*('DATA INPUT'!F11*'DATA INPUT'!G11)^1.9756/1000,IF('DATA INPUT'!B11=1,63.022*('DATA INPUT'!F11*'DATA INPUT'!G11)^2.1551/1000,IF('DATA INPUT'!B11=2,0.0615*('DATA INPUT'!F11*'DATA INPUT'!G11)^0.9573,FALSE)))))</f>
        <v>0</v>
      </c>
      <c r="E7" s="8" t="b">
        <f>IF('DATA INPUT'!B11="T. ser",5.0562*('DATA INPUT'!H11*'DATA INPUT'!I11)^0.9574,IF('DATA INPUT'!B11="S. mel",44047*('DATA INPUT'!H11*'DATA INPUT'!I11)^1.5456/1000,IF('DATA INPUT'!B11="V. ref",91930*('DATA INPUT'!H11*'DATA INPUT'!I11)^1.7774/1000,IF('DATA INPUT'!B11=1,62601*('DATA INPUT'!H11*'DATA INPUT'!I11)^1.6463/1000,IF('DATA INPUT'!B11=2,5.0562*('DATA INPUT'!H11*'DATA INPUT'!I11)^0.9574,FALSE)))))</f>
        <v>0</v>
      </c>
      <c r="F7" s="18" t="b">
        <f>IF('DATA INPUT'!B11="T. ser",0.0009*I7^0.4477,IF('DATA INPUT'!B11="S. mel",0.0000004*I7^1.4912/1000,IF('DATA INPUT'!B11="V. ref",0.00000005*I7^1.6284/1000,IF('DATA INPUT'!B11=1,0.0000007*I7^1.4601/1000,IF('DATA INPUT'!B11=2,0.0009*I7^0.4477,FALSE)))))</f>
        <v>0</v>
      </c>
      <c r="G7" s="57">
        <f t="shared" si="0"/>
        <v>0</v>
      </c>
      <c r="H7" s="57"/>
      <c r="I7" s="2" t="b">
        <f>IF('DATA INPUT'!B11="T. ser",3.142*'DATA INPUT'!N11^2*'DATA INPUT'!O11/3+3.142*'DATA INPUT'!P11^2/3*(3*'DATA INPUT'!N11-'DATA INPUT'!P11),IF('DATA INPUT'!B11="S. mel",3.142*'DATA INPUT'!N11^2*'DATA INPUT'!O11/3+3.142*'DATA INPUT'!P11^2/3*(3*'DATA INPUT'!N11-'DATA INPUT'!P11),IF('DATA INPUT'!B11="V. ref",3.142*'DATA INPUT'!N11^2*'DATA INPUT'!O11/3+3.142*'DATA INPUT'!P11^2/3*(3*'DATA INPUT'!N11-'DATA INPUT'!P11),IF('DATA INPUT'!B11=1,3.142*'DATA INPUT'!N11^2*'DATA INPUT'!O11/3+3.142*'DATA INPUT'!P11^2/3*(3*'DATA INPUT'!N11-'DATA INPUT'!P11),IF('DATA INPUT'!B11=2,3.142*'DATA INPUT'!N11^2*'DATA INPUT'!O11/3+3.142*'DATA INPUT'!P11^2/3*(3*'DATA INPUT'!N11-'DATA INPUT'!P11),FALSE)))))</f>
        <v>0</v>
      </c>
      <c r="J7" s="2" t="b">
        <f>IF('DATA INPUT'!B11="T. ser",0.0458*CALCULATIONS!I7^0.6841,IF('DATA INPUT'!B11="S. mel",0.6047*CALCULATIONS!I7^0.6433,IF('DATA INPUT'!B11="V. ref",0.77086*CALCULATIONS!I7^0.4936,IF('DATA INPUT'!B11=1,0.68778*CALCULATIONS!I7^0.56845,IF('DATA INPUT'!B11=2,0.0458*CALCULATIONS!I7^0.6841,FALSE)))))</f>
        <v>0</v>
      </c>
      <c r="K7" s="3">
        <f t="shared" si="1"/>
        <v>0</v>
      </c>
      <c r="L7" s="3" t="b">
        <f>IF('DATA INPUT'!B11="T. ser",('DATA INPUT'!D11+'DATA INPUT'!F11+'DATA INPUT'!H11+'DATA INPUT'!J11)/1.5,IF('DATA INPUT'!B11="V. ref",('DATA INPUT'!D11+'DATA INPUT'!F11+'DATA INPUT'!H11+'DATA INPUT'!J11)/1.5,IF('DATA INPUT'!B11="S. mel",('DATA INPUT'!D11+'DATA INPUT'!F11+'DATA INPUT'!H11+'DATA INPUT'!J11)/1.5,IF('DATA INPUT'!B11=1,('DATA INPUT'!D11+'DATA INPUT'!F11+'DATA INPUT'!H11+'DATA INPUT'!J11)/1.5,IF('DATA INPUT'!B11=2,('DATA INPUT'!D11+'DATA INPUT'!F11+'DATA INPUT'!H11+'DATA INPUT'!J11)/1.5,FALSE)))))</f>
        <v>0</v>
      </c>
      <c r="N7" s="16">
        <f>'DATA INPUT'!C11</f>
        <v>0</v>
      </c>
      <c r="O7" s="3" t="b">
        <f>IF('DATA INPUT'!B11="T. ser",0.3446*'DATA INPUT'!D11^1.0619,IF('DATA INPUT'!B11="S. mel",(1270.6*'DATA INPUT'!D11^2.0933)/1000,IF('DATA INPUT'!B11="V. ref",(816.25*'DATA INPUT'!D11^2.1754)/1000,IF('DATA INPUT'!B11=1,(1492.4*'DATA INPUT'!D11^1.7591)/1000,IF('DATA INPUT'!B11=2,0.3446*'DATA INPUT'!D11^1.0619,FALSE)))))</f>
        <v>0</v>
      </c>
      <c r="P7" s="3" t="b">
        <f>IF('DATA INPUT'!B11="T. ser",0.3662*'DATA INPUT'!E11^1.5061,IF('DATA INPUT'!B11="S. mel",(748.47*'DATA INPUT'!E11^2.2691)/1000,IF('DATA INPUT'!B11="V. ref",(953.69*'DATA INPUT'!E11^1.9524)/1000,IF('DATA INPUT'!B11=1,(695.02*'DATA INPUT'!E11^2.3452)/1000,IF('DATA INPUT'!B11=2,0.3662*'DATA INPUT'!E11^1.5061,FALSE)))))</f>
        <v>0</v>
      </c>
      <c r="Q7" s="3" t="b">
        <f>IF('DATA INPUT'!B11="T. ser",0.1225*('DATA INPUT'!F11*'DATA INPUT'!G11)^0.8272,IF('DATA INPUT'!B11="S. mel",(925.08*('DATA INPUT'!F11*'DATA INPUT'!G11)^1.1603)/1000,IF('DATA INPUT'!B11="V. ref",(776.29*('DATA INPUT'!F11*'DATA INPUT'!G11)^1.1226)/1000,IF('DATA INPUT'!B11=1,(884.6*('DATA INPUT'!F11*'DATA INPUT'!G11)^1.129)/1000,IF('DATA INPUT'!B11=2,0.1225*('DATA INPUT'!F11*'DATA INPUT'!G11)^0.8272,FALSE)))))</f>
        <v>0</v>
      </c>
      <c r="R7" s="3" t="b">
        <f>IF('DATA INPUT'!B11="T. ser",5.5287*('DATA INPUT'!H11*'DATA INPUT'!I11)^0.8272,IF('DATA INPUT'!B11="S. mel",(31469*('DATA INPUT'!H11*'DATA INPUT'!I11)^0.8608)/1000,IF('DATA INPUT'!B11="V. ref",(39394*('DATA INPUT'!H11*'DATA INPUT'!I11)^1.005)/1000,IF('DATA INPUT'!B11=1,(31791*('DATA INPUT'!H11*'DATA INPUT'!I11)^0.8467)/1000,IF('DATA INPUT'!B11=2,5.5287*('DATA INPUT'!H11*'DATA INPUT'!I11)^0.8272,FALSE)))))</f>
        <v>0</v>
      </c>
      <c r="S7" s="3" t="b">
        <f>IF('DATA INPUT'!B11="T. ser",0.0005*I7^0.5148,IF('DATA INPUT'!B11="S. mel",0.051*I7^0.7789/1000,IF('DATA INPUT'!B11="V. ref",0.0958*I7^0.7253/1000,IF('DATA INPUT'!B11=1,0.0426*I7^0.786/1000,IF('DATA INPUT'!B11=2,0.0005*I7^0.5148,FALSE)))))</f>
        <v>0</v>
      </c>
      <c r="T7" s="59">
        <f t="shared" si="2"/>
        <v>0</v>
      </c>
      <c r="V7" s="2">
        <f>SUMIF($N$3:$N$122,"T. sericea",$K$3:$K$122)</f>
        <v>0</v>
      </c>
      <c r="W7" s="2">
        <f>SUMIF($N$3:$N$122,"S. mellifera",$K$3:$K$122)</f>
        <v>0</v>
      </c>
      <c r="X7" s="2">
        <f>SUMIF($N$3:$N$122,"V. reficience",$K$3:$K$122)</f>
        <v>0</v>
      </c>
      <c r="Y7" s="2">
        <f>SUMIF('DATA INPUT'!$B$7:$B$122,1,$K$3:$K$122)</f>
        <v>0</v>
      </c>
      <c r="Z7" s="2">
        <f>SUMIF('DATA INPUT'!$B$7:$B$122,2,$K$3:$K$122)</f>
        <v>0</v>
      </c>
      <c r="AB7" t="str">
        <f>'DATA INPUT'!Q11</f>
        <v>Other(Broad-leaved)</v>
      </c>
      <c r="AC7" s="2">
        <f>COUNTIF('DATA INPUT'!$C$7:$C$156,'DATA INPUT'!Q11)</f>
        <v>0</v>
      </c>
      <c r="AD7" s="2" t="e">
        <f>AC7*10000/RESULTS_REPORT!$C$18</f>
        <v>#DIV/0!</v>
      </c>
      <c r="AE7" s="2">
        <f t="shared" si="3"/>
        <v>0</v>
      </c>
      <c r="AF7" s="2" t="e">
        <f>AE7*10000/RESULTS_REPORT!$C$18</f>
        <v>#DIV/0!</v>
      </c>
      <c r="AG7" s="2">
        <f t="shared" si="4"/>
        <v>0</v>
      </c>
      <c r="AH7" s="2" t="e">
        <f>AG7*10000/RESULTS_REPORT!$C$18</f>
        <v>#DIV/0!</v>
      </c>
      <c r="AJ7" s="3">
        <f t="shared" si="5"/>
        <v>0</v>
      </c>
      <c r="AK7" s="2" t="e">
        <f>AJ7*10000/RESULTS_REPORT!$C$18</f>
        <v>#DIV/0!</v>
      </c>
      <c r="AL7" s="2">
        <f t="shared" si="6"/>
        <v>0</v>
      </c>
      <c r="AM7" s="3" t="e">
        <f>AL7*10000/RESULTS_REPORT!$C$18</f>
        <v>#DIV/0!</v>
      </c>
      <c r="AN7" s="3"/>
    </row>
    <row r="8" spans="1:46" x14ac:dyDescent="0.2">
      <c r="A8" s="16">
        <f>'DATA INPUT'!C12</f>
        <v>0</v>
      </c>
      <c r="B8" s="11" t="b">
        <f>IF('DATA INPUT'!B12="T. ser",0.1656*'DATA INPUT'!D12^1.4655,IF('DATA INPUT'!B12="S. mel",135.53*'DATA INPUT'!D12^3.8701/1000,IF('DATA INPUT'!B12="V. ref",143.01*'DATA INPUT'!D12^3.3147/1000,IF('DATA INPUT'!B12=1,143.35*'DATA INPUT'!D12^3.6046/1000,IF('DATA INPUT'!B12=2,0.1656*'DATA INPUT'!D12^1.4655,FALSE)))))</f>
        <v>0</v>
      </c>
      <c r="C8" s="8" t="b">
        <f>IF('DATA INPUT'!B12="T. ser",0.3356*'DATA INPUT'!E12^0.9984,IF('DATA INPUT'!B12="S. mel",24.906*'DATA INPUT'!E12^4.7681/1000,IF('DATA INPUT'!B12="V. ref",118.45*'DATA INPUT'!E12^3.5959/1000,IF('DATA INPUT'!B12=1,55.075*'DATA INPUT'!E12^4.0991/1000,IF('DATA INPUT'!B12=2,0.3356*'DATA INPUT'!E12^0.9984,FALSE)))))</f>
        <v>0</v>
      </c>
      <c r="D8" s="18" t="b">
        <f>IF('DATA INPUT'!B12="T. ser",0.0615*('DATA INPUT'!F12*'DATA INPUT'!G12)^0.9573,IF('DATA INPUT'!B12="S. mel",46.162*('DATA INPUT'!F12*'DATA INPUT'!G12)^2.3652/1000,IF('DATA INPUT'!B12="V. ref",90.34*('DATA INPUT'!F12*'DATA INPUT'!G12)^1.9756/1000,IF('DATA INPUT'!B12=1,63.022*('DATA INPUT'!F12*'DATA INPUT'!G12)^2.1551/1000,IF('DATA INPUT'!B12=2,0.0615*('DATA INPUT'!F12*'DATA INPUT'!G12)^0.9573,FALSE)))))</f>
        <v>0</v>
      </c>
      <c r="E8" s="8" t="b">
        <f>IF('DATA INPUT'!B12="T. ser",5.0562*('DATA INPUT'!H12*'DATA INPUT'!I12)^0.9574,IF('DATA INPUT'!B12="S. mel",44047*('DATA INPUT'!H12*'DATA INPUT'!I12)^1.5456/1000,IF('DATA INPUT'!B12="V. ref",91930*('DATA INPUT'!H12*'DATA INPUT'!I12)^1.7774/1000,IF('DATA INPUT'!B12=1,62601*('DATA INPUT'!H12*'DATA INPUT'!I12)^1.6463/1000,IF('DATA INPUT'!B12=2,5.0562*('DATA INPUT'!H12*'DATA INPUT'!I12)^0.9574,FALSE)))))</f>
        <v>0</v>
      </c>
      <c r="F8" s="18" t="b">
        <f>IF('DATA INPUT'!B12="T. ser",0.0009*I8^0.4477,IF('DATA INPUT'!B12="S. mel",0.0000004*I8^1.4912/1000,IF('DATA INPUT'!B12="V. ref",0.00000005*I8^1.6284/1000,IF('DATA INPUT'!B12=1,0.0000007*I8^1.4601/1000,IF('DATA INPUT'!B12=2,0.0009*I8^0.4477,FALSE)))))</f>
        <v>0</v>
      </c>
      <c r="G8" s="57">
        <f t="shared" si="0"/>
        <v>0</v>
      </c>
      <c r="H8" s="57"/>
      <c r="I8" s="2" t="b">
        <f>IF('DATA INPUT'!B12="T. ser",3.142*'DATA INPUT'!N12^2*'DATA INPUT'!O12/3+3.142*'DATA INPUT'!P12^2/3*(3*'DATA INPUT'!N12-'DATA INPUT'!P12),IF('DATA INPUT'!B12="S. mel",3.142*'DATA INPUT'!N12^2*'DATA INPUT'!O12/3+3.142*'DATA INPUT'!P12^2/3*(3*'DATA INPUT'!N12-'DATA INPUT'!P12),IF('DATA INPUT'!B12="V. ref",3.142*'DATA INPUT'!N12^2*'DATA INPUT'!O12/3+3.142*'DATA INPUT'!P12^2/3*(3*'DATA INPUT'!N12-'DATA INPUT'!P12),IF('DATA INPUT'!B12=1,3.142*'DATA INPUT'!N12^2*'DATA INPUT'!O12/3+3.142*'DATA INPUT'!P12^2/3*(3*'DATA INPUT'!N12-'DATA INPUT'!P12),IF('DATA INPUT'!B12=2,3.142*'DATA INPUT'!N12^2*'DATA INPUT'!O12/3+3.142*'DATA INPUT'!P12^2/3*(3*'DATA INPUT'!N12-'DATA INPUT'!P12),FALSE)))))</f>
        <v>0</v>
      </c>
      <c r="J8" s="2" t="b">
        <f>IF('DATA INPUT'!B12="T. ser",0.0458*CALCULATIONS!I8^0.6841,IF('DATA INPUT'!B12="S. mel",0.6047*CALCULATIONS!I8^0.6433,IF('DATA INPUT'!B12="V. ref",0.77086*CALCULATIONS!I8^0.4936,IF('DATA INPUT'!B12=1,0.68778*CALCULATIONS!I8^0.56845,IF('DATA INPUT'!B12=2,0.0458*CALCULATIONS!I8^0.6841,FALSE)))))</f>
        <v>0</v>
      </c>
      <c r="K8" s="3">
        <f t="shared" si="1"/>
        <v>0</v>
      </c>
      <c r="L8" s="3" t="b">
        <f>IF('DATA INPUT'!B12="T. ser",('DATA INPUT'!D12+'DATA INPUT'!F12+'DATA INPUT'!H12+'DATA INPUT'!J12)/1.5,IF('DATA INPUT'!B12="V. ref",('DATA INPUT'!D12+'DATA INPUT'!F12+'DATA INPUT'!H12+'DATA INPUT'!J12)/1.5,IF('DATA INPUT'!B12="S. mel",('DATA INPUT'!D12+'DATA INPUT'!F12+'DATA INPUT'!H12+'DATA INPUT'!J12)/1.5,IF('DATA INPUT'!B12=1,('DATA INPUT'!D12+'DATA INPUT'!F12+'DATA INPUT'!H12+'DATA INPUT'!J12)/1.5,IF('DATA INPUT'!B12=2,('DATA INPUT'!D12+'DATA INPUT'!F12+'DATA INPUT'!H12+'DATA INPUT'!J12)/1.5,FALSE)))))</f>
        <v>0</v>
      </c>
      <c r="M8" t="s">
        <v>55</v>
      </c>
      <c r="N8" s="16">
        <f>'DATA INPUT'!C12</f>
        <v>0</v>
      </c>
      <c r="O8" s="3" t="b">
        <f>IF('DATA INPUT'!B12="T. ser",0.3446*'DATA INPUT'!D12^1.0619,IF('DATA INPUT'!B12="S. mel",(1270.6*'DATA INPUT'!D12^2.0933)/1000,IF('DATA INPUT'!B12="V. ref",(816.25*'DATA INPUT'!D12^2.1754)/1000,IF('DATA INPUT'!B12=1,(1492.4*'DATA INPUT'!D12^1.7591)/1000,IF('DATA INPUT'!B12=2,0.3446*'DATA INPUT'!D12^1.0619,FALSE)))))</f>
        <v>0</v>
      </c>
      <c r="P8" s="3" t="b">
        <f>IF('DATA INPUT'!B12="T. ser",0.3662*'DATA INPUT'!E12^1.5061,IF('DATA INPUT'!B12="S. mel",(748.47*'DATA INPUT'!E12^2.2691)/1000,IF('DATA INPUT'!B12="V. ref",(953.69*'DATA INPUT'!E12^1.9524)/1000,IF('DATA INPUT'!B12=1,(695.02*'DATA INPUT'!E12^2.3452)/1000,IF('DATA INPUT'!B12=2,0.3662*'DATA INPUT'!E12^1.5061,FALSE)))))</f>
        <v>0</v>
      </c>
      <c r="Q8" s="3" t="b">
        <f>IF('DATA INPUT'!B12="T. ser",0.1225*('DATA INPUT'!F12*'DATA INPUT'!G12)^0.8272,IF('DATA INPUT'!B12="S. mel",(925.08*('DATA INPUT'!F12*'DATA INPUT'!G12)^1.1603)/1000,IF('DATA INPUT'!B12="V. ref",(776.29*('DATA INPUT'!F12*'DATA INPUT'!G12)^1.1226)/1000,IF('DATA INPUT'!B12=1,(884.6*('DATA INPUT'!F12*'DATA INPUT'!G12)^1.129)/1000,IF('DATA INPUT'!B12=2,0.1225*('DATA INPUT'!F12*'DATA INPUT'!G12)^0.8272,FALSE)))))</f>
        <v>0</v>
      </c>
      <c r="R8" s="3" t="b">
        <f>IF('DATA INPUT'!B12="T. ser",5.5287*('DATA INPUT'!H12*'DATA INPUT'!I12)^0.8272,IF('DATA INPUT'!B12="S. mel",(31469*('DATA INPUT'!H12*'DATA INPUT'!I12)^0.8608)/1000,IF('DATA INPUT'!B12="V. ref",(39394*('DATA INPUT'!H12*'DATA INPUT'!I12)^1.005)/1000,IF('DATA INPUT'!B12=1,(31791*('DATA INPUT'!H12*'DATA INPUT'!I12)^0.8467)/1000,IF('DATA INPUT'!B12=2,5.5287*('DATA INPUT'!H12*'DATA INPUT'!I12)^0.8272,FALSE)))))</f>
        <v>0</v>
      </c>
      <c r="S8" s="3" t="b">
        <f>IF('DATA INPUT'!B12="T. ser",0.0005*I8^0.5148,IF('DATA INPUT'!B12="S. mel",0.051*I8^0.7789/1000,IF('DATA INPUT'!B12="V. ref",0.0958*I8^0.7253/1000,IF('DATA INPUT'!B12=1,0.0426*I8^0.786/1000,IF('DATA INPUT'!B12=2,0.0005*I8^0.5148,FALSE)))))</f>
        <v>0</v>
      </c>
      <c r="T8" s="59">
        <f t="shared" si="2"/>
        <v>0</v>
      </c>
      <c r="V8" s="2" t="e">
        <f>V7*10000/$X$6</f>
        <v>#DIV/0!</v>
      </c>
      <c r="W8" s="2" t="e">
        <f>W7*10000/$X$6</f>
        <v>#DIV/0!</v>
      </c>
      <c r="X8" s="2" t="e">
        <f>X7*10000/$X$6</f>
        <v>#DIV/0!</v>
      </c>
      <c r="Y8" s="2" t="e">
        <f>Y7*10000/$X$6</f>
        <v>#DIV/0!</v>
      </c>
      <c r="Z8" s="2" t="e">
        <f>Z7*10000/$X$6</f>
        <v>#DIV/0!</v>
      </c>
      <c r="AB8">
        <f>'DATA INPUT'!Q12</f>
        <v>0</v>
      </c>
      <c r="AC8" s="2">
        <f>COUNTIF('DATA INPUT'!$C$7:$C$156,'DATA INPUT'!Q12)</f>
        <v>0</v>
      </c>
      <c r="AD8" s="2" t="e">
        <f>AC8*10000/RESULTS_REPORT!$C$18</f>
        <v>#DIV/0!</v>
      </c>
      <c r="AE8" s="2">
        <f t="shared" si="3"/>
        <v>0</v>
      </c>
      <c r="AF8" s="2" t="e">
        <f>AE8*10000/RESULTS_REPORT!$C$18</f>
        <v>#DIV/0!</v>
      </c>
      <c r="AG8" s="2">
        <f t="shared" si="4"/>
        <v>0</v>
      </c>
      <c r="AH8" s="2" t="e">
        <f>AG8*10000/RESULTS_REPORT!$C$18</f>
        <v>#DIV/0!</v>
      </c>
      <c r="AJ8" s="3">
        <f t="shared" si="5"/>
        <v>0</v>
      </c>
      <c r="AK8" s="2" t="e">
        <f>AJ8*10000/RESULTS_REPORT!$C$18</f>
        <v>#DIV/0!</v>
      </c>
      <c r="AL8" s="2">
        <f t="shared" si="6"/>
        <v>0</v>
      </c>
      <c r="AM8" s="3" t="e">
        <f>AL8*10000/RESULTS_REPORT!$C$18</f>
        <v>#DIV/0!</v>
      </c>
      <c r="AN8" s="3"/>
    </row>
    <row r="9" spans="1:46" x14ac:dyDescent="0.2">
      <c r="A9" s="16">
        <f>'DATA INPUT'!C13</f>
        <v>0</v>
      </c>
      <c r="B9" s="11" t="b">
        <f>IF('DATA INPUT'!B13="T. ser",0.1656*'DATA INPUT'!D13^1.4655,IF('DATA INPUT'!B13="S. mel",135.53*'DATA INPUT'!D13^3.8701/1000,IF('DATA INPUT'!B13="V. ref",143.01*'DATA INPUT'!D13^3.3147/1000,IF('DATA INPUT'!B13=1,143.35*'DATA INPUT'!D13^3.6046/1000,IF('DATA INPUT'!B13=2,0.1656*'DATA INPUT'!D13^1.4655,FALSE)))))</f>
        <v>0</v>
      </c>
      <c r="C9" s="8" t="b">
        <f>IF('DATA INPUT'!B13="T. ser",0.3356*'DATA INPUT'!E13^0.9984,IF('DATA INPUT'!B13="S. mel",24.906*'DATA INPUT'!E13^4.7681/1000,IF('DATA INPUT'!B13="V. ref",118.45*'DATA INPUT'!E13^3.5959/1000,IF('DATA INPUT'!B13=1,55.075*'DATA INPUT'!E13^4.0991/1000,IF('DATA INPUT'!B13=2,0.3356*'DATA INPUT'!E13^0.9984,FALSE)))))</f>
        <v>0</v>
      </c>
      <c r="D9" s="18" t="b">
        <f>IF('DATA INPUT'!B13="T. ser",0.0615*('DATA INPUT'!F13*'DATA INPUT'!G13)^0.9573,IF('DATA INPUT'!B13="S. mel",46.162*('DATA INPUT'!F13*'DATA INPUT'!G13)^2.3652/1000,IF('DATA INPUT'!B13="V. ref",90.34*('DATA INPUT'!F13*'DATA INPUT'!G13)^1.9756/1000,IF('DATA INPUT'!B13=1,63.022*('DATA INPUT'!F13*'DATA INPUT'!G13)^2.1551/1000,IF('DATA INPUT'!B13=2,0.0615*('DATA INPUT'!F13*'DATA INPUT'!G13)^0.9573,FALSE)))))</f>
        <v>0</v>
      </c>
      <c r="E9" s="8" t="b">
        <f>IF('DATA INPUT'!B13="T. ser",5.0562*('DATA INPUT'!H13*'DATA INPUT'!I13)^0.9574,IF('DATA INPUT'!B13="S. mel",44047*('DATA INPUT'!H13*'DATA INPUT'!I13)^1.5456/1000,IF('DATA INPUT'!B13="V. ref",91930*('DATA INPUT'!H13*'DATA INPUT'!I13)^1.7774/1000,IF('DATA INPUT'!B13=1,62601*('DATA INPUT'!H13*'DATA INPUT'!I13)^1.6463/1000,IF('DATA INPUT'!B13=2,5.0562*('DATA INPUT'!H13*'DATA INPUT'!I13)^0.9574,FALSE)))))</f>
        <v>0</v>
      </c>
      <c r="F9" s="18" t="b">
        <f>IF('DATA INPUT'!B13="T. ser",0.0009*I9^0.4477,IF('DATA INPUT'!B13="S. mel",0.0000004*I9^1.4912/1000,IF('DATA INPUT'!B13="V. ref",0.00000005*I9^1.6284/1000,IF('DATA INPUT'!B13=1,0.0000007*I9^1.4601/1000,IF('DATA INPUT'!B13=2,0.0009*I9^0.4477,FALSE)))))</f>
        <v>0</v>
      </c>
      <c r="G9" s="57">
        <f t="shared" si="0"/>
        <v>0</v>
      </c>
      <c r="H9" s="57"/>
      <c r="I9" s="2" t="b">
        <f>IF('DATA INPUT'!B13="T. ser",3.142*'DATA INPUT'!N13^2*'DATA INPUT'!O13/3+3.142*'DATA INPUT'!P13^2/3*(3*'DATA INPUT'!N13-'DATA INPUT'!P13),IF('DATA INPUT'!B13="S. mel",3.142*'DATA INPUT'!N13^2*'DATA INPUT'!O13/3+3.142*'DATA INPUT'!P13^2/3*(3*'DATA INPUT'!N13-'DATA INPUT'!P13),IF('DATA INPUT'!B13="V. ref",3.142*'DATA INPUT'!N13^2*'DATA INPUT'!O13/3+3.142*'DATA INPUT'!P13^2/3*(3*'DATA INPUT'!N13-'DATA INPUT'!P13),IF('DATA INPUT'!B13=1,3.142*'DATA INPUT'!N13^2*'DATA INPUT'!O13/3+3.142*'DATA INPUT'!P13^2/3*(3*'DATA INPUT'!N13-'DATA INPUT'!P13),IF('DATA INPUT'!B13=2,3.142*'DATA INPUT'!N13^2*'DATA INPUT'!O13/3+3.142*'DATA INPUT'!P13^2/3*(3*'DATA INPUT'!N13-'DATA INPUT'!P13),FALSE)))))</f>
        <v>0</v>
      </c>
      <c r="J9" s="2" t="b">
        <f>IF('DATA INPUT'!B13="T. ser",0.0458*CALCULATIONS!I9^0.6841,IF('DATA INPUT'!B13="S. mel",0.6047*CALCULATIONS!I9^0.6433,IF('DATA INPUT'!B13="V. ref",0.77086*CALCULATIONS!I9^0.4936,IF('DATA INPUT'!B13=1,0.68778*CALCULATIONS!I9^0.56845,IF('DATA INPUT'!B13=2,0.0458*CALCULATIONS!I9^0.6841,FALSE)))))</f>
        <v>0</v>
      </c>
      <c r="K9" s="3">
        <f t="shared" si="1"/>
        <v>0</v>
      </c>
      <c r="L9" s="3" t="b">
        <f>IF('DATA INPUT'!B13="T. ser",('DATA INPUT'!D13+'DATA INPUT'!F13+'DATA INPUT'!H13+'DATA INPUT'!J13)/1.5,IF('DATA INPUT'!B13="V. ref",('DATA INPUT'!D13+'DATA INPUT'!F13+'DATA INPUT'!H13+'DATA INPUT'!J13)/1.5,IF('DATA INPUT'!B13="S. mel",('DATA INPUT'!D13+'DATA INPUT'!F13+'DATA INPUT'!H13+'DATA INPUT'!J13)/1.5,IF('DATA INPUT'!B13=1,('DATA INPUT'!D13+'DATA INPUT'!F13+'DATA INPUT'!H13+'DATA INPUT'!J13)/1.5,IF('DATA INPUT'!B13=2,('DATA INPUT'!D13+'DATA INPUT'!F13+'DATA INPUT'!H13+'DATA INPUT'!J13)/1.5,FALSE)))))</f>
        <v>0</v>
      </c>
      <c r="N9" s="16">
        <f>'DATA INPUT'!C13</f>
        <v>0</v>
      </c>
      <c r="O9" s="3" t="b">
        <f>IF('DATA INPUT'!B13="T. ser",0.3446*'DATA INPUT'!D13^1.0619,IF('DATA INPUT'!B13="S. mel",(1270.6*'DATA INPUT'!D13^2.0933)/1000,IF('DATA INPUT'!B13="V. ref",(816.25*'DATA INPUT'!D13^2.1754)/1000,IF('DATA INPUT'!B13=1,(1492.4*'DATA INPUT'!D13^1.7591)/1000,IF('DATA INPUT'!B13=2,0.3446*'DATA INPUT'!D13^1.0619,FALSE)))))</f>
        <v>0</v>
      </c>
      <c r="P9" s="3" t="b">
        <f>IF('DATA INPUT'!B13="T. ser",0.3662*'DATA INPUT'!E13^1.5061,IF('DATA INPUT'!B13="S. mel",(748.47*'DATA INPUT'!E13^2.2691)/1000,IF('DATA INPUT'!B13="V. ref",(953.69*'DATA INPUT'!E13^1.9524)/1000,IF('DATA INPUT'!B13=1,(695.02*'DATA INPUT'!E13^2.3452)/1000,IF('DATA INPUT'!B13=2,0.3662*'DATA INPUT'!E13^1.5061,FALSE)))))</f>
        <v>0</v>
      </c>
      <c r="Q9" s="3" t="b">
        <f>IF('DATA INPUT'!B13="T. ser",0.1225*('DATA INPUT'!F13*'DATA INPUT'!G13)^0.8272,IF('DATA INPUT'!B13="S. mel",(925.08*('DATA INPUT'!F13*'DATA INPUT'!G13)^1.1603)/1000,IF('DATA INPUT'!B13="V. ref",(776.29*('DATA INPUT'!F13*'DATA INPUT'!G13)^1.1226)/1000,IF('DATA INPUT'!B13=1,(884.6*('DATA INPUT'!F13*'DATA INPUT'!G13)^1.129)/1000,IF('DATA INPUT'!B13=2,0.1225*('DATA INPUT'!F13*'DATA INPUT'!G13)^0.8272,FALSE)))))</f>
        <v>0</v>
      </c>
      <c r="R9" s="3" t="b">
        <f>IF('DATA INPUT'!B13="T. ser",5.5287*('DATA INPUT'!H13*'DATA INPUT'!I13)^0.8272,IF('DATA INPUT'!B13="S. mel",(31469*('DATA INPUT'!H13*'DATA INPUT'!I13)^0.8608)/1000,IF('DATA INPUT'!B13="V. ref",(39394*('DATA INPUT'!H13*'DATA INPUT'!I13)^1.005)/1000,IF('DATA INPUT'!B13=1,(31791*('DATA INPUT'!H13*'DATA INPUT'!I13)^0.8467)/1000,IF('DATA INPUT'!B13=2,5.5287*('DATA INPUT'!H13*'DATA INPUT'!I13)^0.8272,FALSE)))))</f>
        <v>0</v>
      </c>
      <c r="S9" s="3" t="b">
        <f>IF('DATA INPUT'!B13="T. ser",0.0005*I9^0.5148,IF('DATA INPUT'!B13="S. mel",0.051*I9^0.7789/1000,IF('DATA INPUT'!B13="V. ref",0.0958*I9^0.7253/1000,IF('DATA INPUT'!B13=1,0.0426*I9^0.786/1000,IF('DATA INPUT'!B13=2,0.0005*I9^0.5148,FALSE)))))</f>
        <v>0</v>
      </c>
      <c r="T9" s="59">
        <f t="shared" si="2"/>
        <v>0</v>
      </c>
      <c r="AB9">
        <f>'DATA INPUT'!Q13</f>
        <v>0</v>
      </c>
      <c r="AC9" s="2">
        <f>COUNTIF('DATA INPUT'!$C$7:$C$156,'DATA INPUT'!Q13)</f>
        <v>0</v>
      </c>
      <c r="AD9" s="2" t="e">
        <f>AC9*10000/RESULTS_REPORT!$C$18</f>
        <v>#DIV/0!</v>
      </c>
      <c r="AE9" s="2">
        <f t="shared" si="3"/>
        <v>0</v>
      </c>
      <c r="AF9" s="2" t="e">
        <f>AE9*10000/RESULTS_REPORT!$C$18</f>
        <v>#DIV/0!</v>
      </c>
      <c r="AG9" s="2">
        <f t="shared" si="4"/>
        <v>0</v>
      </c>
      <c r="AH9" s="2" t="e">
        <f>AG9*10000/RESULTS_REPORT!$C$18</f>
        <v>#DIV/0!</v>
      </c>
      <c r="AJ9" s="3">
        <f t="shared" si="5"/>
        <v>0</v>
      </c>
      <c r="AK9" s="2" t="e">
        <f>AJ9*10000/RESULTS_REPORT!$C$18</f>
        <v>#DIV/0!</v>
      </c>
      <c r="AL9" s="2">
        <f t="shared" si="6"/>
        <v>0</v>
      </c>
      <c r="AM9" s="3" t="e">
        <f>AL9*10000/RESULTS_REPORT!$C$18</f>
        <v>#DIV/0!</v>
      </c>
      <c r="AN9" s="3"/>
    </row>
    <row r="10" spans="1:46" x14ac:dyDescent="0.2">
      <c r="A10" s="16">
        <f>'DATA INPUT'!C14</f>
        <v>0</v>
      </c>
      <c r="B10" s="11" t="b">
        <f>IF('DATA INPUT'!B14="T. ser",0.1656*'DATA INPUT'!D14^1.4655,IF('DATA INPUT'!B14="S. mel",135.53*'DATA INPUT'!D14^3.8701/1000,IF('DATA INPUT'!B14="V. ref",143.01*'DATA INPUT'!D14^3.3147/1000,IF('DATA INPUT'!B14=1,143.35*'DATA INPUT'!D14^3.6046/1000,IF('DATA INPUT'!B14=2,0.1656*'DATA INPUT'!D14^1.4655,FALSE)))))</f>
        <v>0</v>
      </c>
      <c r="C10" s="8" t="b">
        <f>IF('DATA INPUT'!B14="T. ser",0.3356*'DATA INPUT'!E14^0.9984,IF('DATA INPUT'!B14="S. mel",24.906*'DATA INPUT'!E14^4.7681/1000,IF('DATA INPUT'!B14="V. ref",118.45*'DATA INPUT'!E14^3.5959/1000,IF('DATA INPUT'!B14=1,55.075*'DATA INPUT'!E14^4.0991/1000,IF('DATA INPUT'!B14=2,0.3356*'DATA INPUT'!E14^0.9984,FALSE)))))</f>
        <v>0</v>
      </c>
      <c r="D10" s="18" t="b">
        <f>IF('DATA INPUT'!B14="T. ser",0.0615*('DATA INPUT'!F14*'DATA INPUT'!G14)^0.9573,IF('DATA INPUT'!B14="S. mel",46.162*('DATA INPUT'!F14*'DATA INPUT'!G14)^2.3652/1000,IF('DATA INPUT'!B14="V. ref",90.34*('DATA INPUT'!F14*'DATA INPUT'!G14)^1.9756/1000,IF('DATA INPUT'!B14=1,63.022*('DATA INPUT'!F14*'DATA INPUT'!G14)^2.1551/1000,IF('DATA INPUT'!B14=2,0.0615*('DATA INPUT'!F14*'DATA INPUT'!G14)^0.9573,FALSE)))))</f>
        <v>0</v>
      </c>
      <c r="E10" s="8" t="b">
        <f>IF('DATA INPUT'!B14="T. ser",5.0562*('DATA INPUT'!H14*'DATA INPUT'!I14)^0.9574,IF('DATA INPUT'!B14="S. mel",44047*('DATA INPUT'!H14*'DATA INPUT'!I14)^1.5456/1000,IF('DATA INPUT'!B14="V. ref",91930*('DATA INPUT'!H14*'DATA INPUT'!I14)^1.7774/1000,IF('DATA INPUT'!B14=1,62601*('DATA INPUT'!H14*'DATA INPUT'!I14)^1.6463/1000,IF('DATA INPUT'!B14=2,5.0562*('DATA INPUT'!H14*'DATA INPUT'!I14)^0.9574,FALSE)))))</f>
        <v>0</v>
      </c>
      <c r="F10" s="18" t="b">
        <f>IF('DATA INPUT'!B14="T. ser",0.0009*I10^0.4477,IF('DATA INPUT'!B14="S. mel",0.0000004*I10^1.4912/1000,IF('DATA INPUT'!B14="V. ref",0.00000005*I10^1.6284/1000,IF('DATA INPUT'!B14=1,0.0000007*I10^1.4601/1000,IF('DATA INPUT'!B14=2,0.0009*I10^0.4477,FALSE)))))</f>
        <v>0</v>
      </c>
      <c r="G10" s="57">
        <f t="shared" si="0"/>
        <v>0</v>
      </c>
      <c r="H10" s="57"/>
      <c r="I10" s="2" t="b">
        <f>IF('DATA INPUT'!B14="T. ser",3.142*'DATA INPUT'!N14^2*'DATA INPUT'!O14/3+3.142*'DATA INPUT'!P14^2/3*(3*'DATA INPUT'!N14-'DATA INPUT'!P14),IF('DATA INPUT'!B14="S. mel",3.142*'DATA INPUT'!N14^2*'DATA INPUT'!O14/3+3.142*'DATA INPUT'!P14^2/3*(3*'DATA INPUT'!N14-'DATA INPUT'!P14),IF('DATA INPUT'!B14="V. ref",3.142*'DATA INPUT'!N14^2*'DATA INPUT'!O14/3+3.142*'DATA INPUT'!P14^2/3*(3*'DATA INPUT'!N14-'DATA INPUT'!P14),IF('DATA INPUT'!B14=1,3.142*'DATA INPUT'!N14^2*'DATA INPUT'!O14/3+3.142*'DATA INPUT'!P14^2/3*(3*'DATA INPUT'!N14-'DATA INPUT'!P14),IF('DATA INPUT'!B14=2,3.142*'DATA INPUT'!N14^2*'DATA INPUT'!O14/3+3.142*'DATA INPUT'!P14^2/3*(3*'DATA INPUT'!N14-'DATA INPUT'!P14),FALSE)))))</f>
        <v>0</v>
      </c>
      <c r="J10" s="2" t="b">
        <f>IF('DATA INPUT'!B14="T. ser",0.0458*CALCULATIONS!I10^0.6841,IF('DATA INPUT'!B14="S. mel",0.6047*CALCULATIONS!I10^0.6433,IF('DATA INPUT'!B14="V. ref",0.77086*CALCULATIONS!I10^0.4936,IF('DATA INPUT'!B14=1,0.68778*CALCULATIONS!I10^0.56845,IF('DATA INPUT'!B14=2,0.0458*CALCULATIONS!I10^0.6841,FALSE)))))</f>
        <v>0</v>
      </c>
      <c r="K10" s="3">
        <f t="shared" si="1"/>
        <v>0</v>
      </c>
      <c r="L10" s="3" t="b">
        <f>IF('DATA INPUT'!B14="T. ser",('DATA INPUT'!D14+'DATA INPUT'!F14+'DATA INPUT'!H14+'DATA INPUT'!J14)/1.5,IF('DATA INPUT'!B14="V. ref",('DATA INPUT'!D14+'DATA INPUT'!F14+'DATA INPUT'!H14+'DATA INPUT'!J14)/1.5,IF('DATA INPUT'!B14="S. mel",('DATA INPUT'!D14+'DATA INPUT'!F14+'DATA INPUT'!H14+'DATA INPUT'!J14)/1.5,IF('DATA INPUT'!B14=1,('DATA INPUT'!D14+'DATA INPUT'!F14+'DATA INPUT'!H14+'DATA INPUT'!J14)/1.5,IF('DATA INPUT'!B14=2,('DATA INPUT'!D14+'DATA INPUT'!F14+'DATA INPUT'!H14+'DATA INPUT'!J14)/1.5,FALSE)))))</f>
        <v>0</v>
      </c>
      <c r="N10" s="16">
        <f>'DATA INPUT'!C14</f>
        <v>0</v>
      </c>
      <c r="O10" s="3" t="b">
        <f>IF('DATA INPUT'!B14="T. ser",0.3446*'DATA INPUT'!D14^1.0619,IF('DATA INPUT'!B14="S. mel",(1270.6*'DATA INPUT'!D14^2.0933)/1000,IF('DATA INPUT'!B14="V. ref",(816.25*'DATA INPUT'!D14^2.1754)/1000,IF('DATA INPUT'!B14=1,(1492.4*'DATA INPUT'!D14^1.7591)/1000,IF('DATA INPUT'!B14=2,0.3446*'DATA INPUT'!D14^1.0619,FALSE)))))</f>
        <v>0</v>
      </c>
      <c r="P10" s="3" t="b">
        <f>IF('DATA INPUT'!B14="T. ser",0.3662*'DATA INPUT'!E14^1.5061,IF('DATA INPUT'!B14="S. mel",(748.47*'DATA INPUT'!E14^2.2691)/1000,IF('DATA INPUT'!B14="V. ref",(953.69*'DATA INPUT'!E14^1.9524)/1000,IF('DATA INPUT'!B14=1,(695.02*'DATA INPUT'!E14^2.3452)/1000,IF('DATA INPUT'!B14=2,0.3662*'DATA INPUT'!E14^1.5061,FALSE)))))</f>
        <v>0</v>
      </c>
      <c r="Q10" s="3" t="b">
        <f>IF('DATA INPUT'!B14="T. ser",0.1225*('DATA INPUT'!F14*'DATA INPUT'!G14)^0.8272,IF('DATA INPUT'!B14="S. mel",(925.08*('DATA INPUT'!F14*'DATA INPUT'!G14)^1.1603)/1000,IF('DATA INPUT'!B14="V. ref",(776.29*('DATA INPUT'!F14*'DATA INPUT'!G14)^1.1226)/1000,IF('DATA INPUT'!B14=1,(884.6*('DATA INPUT'!F14*'DATA INPUT'!G14)^1.129)/1000,IF('DATA INPUT'!B14=2,0.1225*('DATA INPUT'!F14*'DATA INPUT'!G14)^0.8272,FALSE)))))</f>
        <v>0</v>
      </c>
      <c r="R10" s="3" t="b">
        <f>IF('DATA INPUT'!B14="T. ser",5.5287*('DATA INPUT'!H14*'DATA INPUT'!I14)^0.8272,IF('DATA INPUT'!B14="S. mel",(31469*('DATA INPUT'!H14*'DATA INPUT'!I14)^0.8608)/1000,IF('DATA INPUT'!B14="V. ref",(39394*('DATA INPUT'!H14*'DATA INPUT'!I14)^1.005)/1000,IF('DATA INPUT'!B14=1,(31791*('DATA INPUT'!H14*'DATA INPUT'!I14)^0.8467)/1000,IF('DATA INPUT'!B14=2,5.5287*('DATA INPUT'!H14*'DATA INPUT'!I14)^0.8272,FALSE)))))</f>
        <v>0</v>
      </c>
      <c r="S10" s="3" t="b">
        <f>IF('DATA INPUT'!B14="T. ser",0.0005*I10^0.5148,IF('DATA INPUT'!B14="S. mel",0.051*I10^0.7789/1000,IF('DATA INPUT'!B14="V. ref",0.0958*I10^0.7253/1000,IF('DATA INPUT'!B14=1,0.0426*I10^0.786/1000,IF('DATA INPUT'!B14=2,0.0005*I10^0.5148,FALSE)))))</f>
        <v>0</v>
      </c>
      <c r="T10" s="59">
        <f t="shared" si="2"/>
        <v>0</v>
      </c>
      <c r="V10" t="s">
        <v>71</v>
      </c>
      <c r="X10" s="35">
        <f>RESULTS_REPORT!C18</f>
        <v>0</v>
      </c>
      <c r="Y10" t="s">
        <v>91</v>
      </c>
      <c r="AB10">
        <f>'DATA INPUT'!Q14</f>
        <v>0</v>
      </c>
      <c r="AC10" s="2">
        <f>COUNTIF('DATA INPUT'!$C$7:$C$156,'DATA INPUT'!Q14)</f>
        <v>0</v>
      </c>
      <c r="AD10" s="2" t="e">
        <f>AC10*10000/RESULTS_REPORT!$C$18</f>
        <v>#DIV/0!</v>
      </c>
      <c r="AE10" s="2">
        <f t="shared" si="3"/>
        <v>0</v>
      </c>
      <c r="AF10" s="2" t="e">
        <f>AE10*10000/RESULTS_REPORT!$C$18</f>
        <v>#DIV/0!</v>
      </c>
      <c r="AG10" s="2">
        <f t="shared" si="4"/>
        <v>0</v>
      </c>
      <c r="AH10" s="2" t="e">
        <f>AG10*10000/RESULTS_REPORT!$C$18</f>
        <v>#DIV/0!</v>
      </c>
      <c r="AJ10" s="3">
        <f t="shared" si="5"/>
        <v>0</v>
      </c>
      <c r="AK10" s="2" t="e">
        <f>AJ10*10000/RESULTS_REPORT!$C$18</f>
        <v>#DIV/0!</v>
      </c>
      <c r="AL10" s="2">
        <f t="shared" si="6"/>
        <v>0</v>
      </c>
      <c r="AM10" s="3" t="e">
        <f>AL10*10000/RESULTS_REPORT!$C$18</f>
        <v>#DIV/0!</v>
      </c>
      <c r="AN10" s="3"/>
    </row>
    <row r="11" spans="1:46" x14ac:dyDescent="0.2">
      <c r="A11" s="16">
        <f>'DATA INPUT'!C15</f>
        <v>0</v>
      </c>
      <c r="B11" s="11" t="b">
        <f>IF('DATA INPUT'!B15="T. ser",0.1656*'DATA INPUT'!D15^1.4655,IF('DATA INPUT'!B15="S. mel",135.53*'DATA INPUT'!D15^3.8701/1000,IF('DATA INPUT'!B15="V. ref",143.01*'DATA INPUT'!D15^3.3147/1000,IF('DATA INPUT'!B15=1,143.35*'DATA INPUT'!D15^3.6046/1000,IF('DATA INPUT'!B15=2,0.1656*'DATA INPUT'!D15^1.4655,FALSE)))))</f>
        <v>0</v>
      </c>
      <c r="C11" s="8" t="b">
        <f>IF('DATA INPUT'!B15="T. ser",0.3356*'DATA INPUT'!E15^0.9984,IF('DATA INPUT'!B15="S. mel",24.906*'DATA INPUT'!E15^4.7681/1000,IF('DATA INPUT'!B15="V. ref",118.45*'DATA INPUT'!E15^3.5959/1000,IF('DATA INPUT'!B15=1,55.075*'DATA INPUT'!E15^4.0991/1000,IF('DATA INPUT'!B15=2,0.3356*'DATA INPUT'!E15^0.9984,FALSE)))))</f>
        <v>0</v>
      </c>
      <c r="D11" s="18" t="b">
        <f>IF('DATA INPUT'!B15="T. ser",0.0615*('DATA INPUT'!F15*'DATA INPUT'!G15)^0.9573,IF('DATA INPUT'!B15="S. mel",46.162*('DATA INPUT'!F15*'DATA INPUT'!G15)^2.3652/1000,IF('DATA INPUT'!B15="V. ref",90.34*('DATA INPUT'!F15*'DATA INPUT'!G15)^1.9756/1000,IF('DATA INPUT'!B15=1,63.022*('DATA INPUT'!F15*'DATA INPUT'!G15)^2.1551/1000,IF('DATA INPUT'!B15=2,0.0615*('DATA INPUT'!F15*'DATA INPUT'!G15)^0.9573,FALSE)))))</f>
        <v>0</v>
      </c>
      <c r="E11" s="8" t="b">
        <f>IF('DATA INPUT'!B15="T. ser",5.0562*('DATA INPUT'!H15*'DATA INPUT'!I15)^0.9574,IF('DATA INPUT'!B15="S. mel",44047*('DATA INPUT'!H15*'DATA INPUT'!I15)^1.5456/1000,IF('DATA INPUT'!B15="V. ref",91930*('DATA INPUT'!H15*'DATA INPUT'!I15)^1.7774/1000,IF('DATA INPUT'!B15=1,62601*('DATA INPUT'!H15*'DATA INPUT'!I15)^1.6463/1000,IF('DATA INPUT'!B15=2,5.0562*('DATA INPUT'!H15*'DATA INPUT'!I15)^0.9574,FALSE)))))</f>
        <v>0</v>
      </c>
      <c r="F11" s="18" t="b">
        <f>IF('DATA INPUT'!B15="T. ser",0.0009*I11^0.4477,IF('DATA INPUT'!B15="S. mel",0.0000004*I11^1.4912/1000,IF('DATA INPUT'!B15="V. ref",0.00000005*I11^1.6284/1000,IF('DATA INPUT'!B15=1,0.0000007*I11^1.4601/1000,IF('DATA INPUT'!B15=2,0.0009*I11^0.4477,FALSE)))))</f>
        <v>0</v>
      </c>
      <c r="G11" s="57">
        <f t="shared" si="0"/>
        <v>0</v>
      </c>
      <c r="H11" s="57"/>
      <c r="I11" s="2" t="b">
        <f>IF('DATA INPUT'!B15="T. ser",3.142*'DATA INPUT'!N15^2*'DATA INPUT'!O15/3+3.142*'DATA INPUT'!P15^2/3*(3*'DATA INPUT'!N15-'DATA INPUT'!P15),IF('DATA INPUT'!B15="S. mel",3.142*'DATA INPUT'!N15^2*'DATA INPUT'!O15/3+3.142*'DATA INPUT'!P15^2/3*(3*'DATA INPUT'!N15-'DATA INPUT'!P15),IF('DATA INPUT'!B15="V. ref",3.142*'DATA INPUT'!N15^2*'DATA INPUT'!O15/3+3.142*'DATA INPUT'!P15^2/3*(3*'DATA INPUT'!N15-'DATA INPUT'!P15),IF('DATA INPUT'!B15=1,3.142*'DATA INPUT'!N15^2*'DATA INPUT'!O15/3+3.142*'DATA INPUT'!P15^2/3*(3*'DATA INPUT'!N15-'DATA INPUT'!P15),IF('DATA INPUT'!B15=2,3.142*'DATA INPUT'!N15^2*'DATA INPUT'!O15/3+3.142*'DATA INPUT'!P15^2/3*(3*'DATA INPUT'!N15-'DATA INPUT'!P15),FALSE)))))</f>
        <v>0</v>
      </c>
      <c r="J11" s="2" t="b">
        <f>IF('DATA INPUT'!B15="T. ser",0.0458*CALCULATIONS!I11^0.6841,IF('DATA INPUT'!B15="S. mel",0.6047*CALCULATIONS!I11^0.6433,IF('DATA INPUT'!B15="V. ref",0.77086*CALCULATIONS!I11^0.4936,IF('DATA INPUT'!B15=1,0.68778*CALCULATIONS!I11^0.56845,IF('DATA INPUT'!B15=2,0.0458*CALCULATIONS!I11^0.6841,FALSE)))))</f>
        <v>0</v>
      </c>
      <c r="K11" s="3">
        <f t="shared" si="1"/>
        <v>0</v>
      </c>
      <c r="L11" s="3" t="b">
        <f>IF('DATA INPUT'!B15="T. ser",('DATA INPUT'!D15+'DATA INPUT'!F15+'DATA INPUT'!H15+'DATA INPUT'!J15)/1.5,IF('DATA INPUT'!B15="V. ref",('DATA INPUT'!D15+'DATA INPUT'!F15+'DATA INPUT'!H15+'DATA INPUT'!J15)/1.5,IF('DATA INPUT'!B15="S. mel",('DATA INPUT'!D15+'DATA INPUT'!F15+'DATA INPUT'!H15+'DATA INPUT'!J15)/1.5,IF('DATA INPUT'!B15=1,('DATA INPUT'!D15+'DATA INPUT'!F15+'DATA INPUT'!H15+'DATA INPUT'!J15)/1.5,IF('DATA INPUT'!B15=2,('DATA INPUT'!D15+'DATA INPUT'!F15+'DATA INPUT'!H15+'DATA INPUT'!J15)/1.5,FALSE)))))</f>
        <v>0</v>
      </c>
      <c r="N11" s="16">
        <f>'DATA INPUT'!C15</f>
        <v>0</v>
      </c>
      <c r="O11" s="3" t="b">
        <f>IF('DATA INPUT'!B15="T. ser",0.3446*'DATA INPUT'!D15^1.0619,IF('DATA INPUT'!B15="S. mel",(1270.6*'DATA INPUT'!D15^2.0933)/1000,IF('DATA INPUT'!B15="V. ref",(816.25*'DATA INPUT'!D15^2.1754)/1000,IF('DATA INPUT'!B15=1,(1492.4*'DATA INPUT'!D15^1.7591)/1000,IF('DATA INPUT'!B15=2,0.3446*'DATA INPUT'!D15^1.0619,FALSE)))))</f>
        <v>0</v>
      </c>
      <c r="P11" s="3" t="b">
        <f>IF('DATA INPUT'!B15="T. ser",0.3662*'DATA INPUT'!E15^1.5061,IF('DATA INPUT'!B15="S. mel",(748.47*'DATA INPUT'!E15^2.2691)/1000,IF('DATA INPUT'!B15="V. ref",(953.69*'DATA INPUT'!E15^1.9524)/1000,IF('DATA INPUT'!B15=1,(695.02*'DATA INPUT'!E15^2.3452)/1000,IF('DATA INPUT'!B15=2,0.3662*'DATA INPUT'!E15^1.5061,FALSE)))))</f>
        <v>0</v>
      </c>
      <c r="Q11" s="3" t="b">
        <f>IF('DATA INPUT'!B15="T. ser",0.1225*('DATA INPUT'!F15*'DATA INPUT'!G15)^0.8272,IF('DATA INPUT'!B15="S. mel",(925.08*('DATA INPUT'!F15*'DATA INPUT'!G15)^1.1603)/1000,IF('DATA INPUT'!B15="V. ref",(776.29*('DATA INPUT'!F15*'DATA INPUT'!G15)^1.1226)/1000,IF('DATA INPUT'!B15=1,(884.6*('DATA INPUT'!F15*'DATA INPUT'!G15)^1.129)/1000,IF('DATA INPUT'!B15=2,0.1225*('DATA INPUT'!F15*'DATA INPUT'!G15)^0.8272,FALSE)))))</f>
        <v>0</v>
      </c>
      <c r="R11" s="3" t="b">
        <f>IF('DATA INPUT'!B15="T. ser",5.5287*('DATA INPUT'!H15*'DATA INPUT'!I15)^0.8272,IF('DATA INPUT'!B15="S. mel",(31469*('DATA INPUT'!H15*'DATA INPUT'!I15)^0.8608)/1000,IF('DATA INPUT'!B15="V. ref",(39394*('DATA INPUT'!H15*'DATA INPUT'!I15)^1.005)/1000,IF('DATA INPUT'!B15=1,(31791*('DATA INPUT'!H15*'DATA INPUT'!I15)^0.8467)/1000,IF('DATA INPUT'!B15=2,5.5287*('DATA INPUT'!H15*'DATA INPUT'!I15)^0.8272,FALSE)))))</f>
        <v>0</v>
      </c>
      <c r="S11" s="3" t="b">
        <f>IF('DATA INPUT'!B15="T. ser",0.0005*I11^0.5148,IF('DATA INPUT'!B15="S. mel",0.051*I11^0.7789/1000,IF('DATA INPUT'!B15="V. ref",0.0958*I11^0.7253/1000,IF('DATA INPUT'!B15=1,0.0426*I11^0.786/1000,IF('DATA INPUT'!B15=2,0.0005*I11^0.5148,FALSE)))))</f>
        <v>0</v>
      </c>
      <c r="T11" s="59">
        <f t="shared" si="2"/>
        <v>0</v>
      </c>
      <c r="V11">
        <f>SUMIF($N$3:$N$122,"T. sericea",$L$3:$L$122)</f>
        <v>0</v>
      </c>
      <c r="W11">
        <f>SUMIF($N$3:$N$122,"S. mellifera",$L$3:$L$122)</f>
        <v>0</v>
      </c>
      <c r="X11">
        <f>SUMIF($N$3:$N$122,"V. reficience",$L$3:$L$122)</f>
        <v>0</v>
      </c>
      <c r="Y11" s="2">
        <f>SUMIF('DATA INPUT'!$B$7:$B$122,1,$L$3:$L$122)</f>
        <v>0</v>
      </c>
      <c r="Z11" s="2">
        <f>SUMIF('DATA INPUT'!$B$7:$B$122,2,$L$3:$L$122)</f>
        <v>0</v>
      </c>
      <c r="AB11">
        <f>'DATA INPUT'!Q15</f>
        <v>0</v>
      </c>
      <c r="AC11" s="2">
        <f>COUNTIF('DATA INPUT'!$C$7:$C$156,'DATA INPUT'!Q15)</f>
        <v>0</v>
      </c>
      <c r="AD11" s="2" t="e">
        <f>AC11*10000/RESULTS_REPORT!$C$18</f>
        <v>#DIV/0!</v>
      </c>
      <c r="AE11" s="2">
        <f t="shared" si="3"/>
        <v>0</v>
      </c>
      <c r="AF11" s="2" t="e">
        <f>AE11*10000/RESULTS_REPORT!$C$18</f>
        <v>#DIV/0!</v>
      </c>
      <c r="AG11" s="2">
        <f t="shared" si="4"/>
        <v>0</v>
      </c>
      <c r="AH11" s="2" t="e">
        <f>AG11*10000/RESULTS_REPORT!$C$18</f>
        <v>#DIV/0!</v>
      </c>
      <c r="AJ11" s="3">
        <f t="shared" si="5"/>
        <v>0</v>
      </c>
      <c r="AK11" s="2" t="e">
        <f>AJ11*10000/RESULTS_REPORT!$C$18</f>
        <v>#DIV/0!</v>
      </c>
      <c r="AL11" s="2">
        <f t="shared" si="6"/>
        <v>0</v>
      </c>
      <c r="AM11" s="3" t="e">
        <f>AL11*10000/RESULTS_REPORT!$C$18</f>
        <v>#DIV/0!</v>
      </c>
      <c r="AN11" s="3"/>
    </row>
    <row r="12" spans="1:46" x14ac:dyDescent="0.2">
      <c r="A12" s="16">
        <f>'DATA INPUT'!C16</f>
        <v>0</v>
      </c>
      <c r="B12" s="11" t="b">
        <f>IF('DATA INPUT'!B16="T. ser",0.1656*'DATA INPUT'!D16^1.4655,IF('DATA INPUT'!B16="S. mel",135.53*'DATA INPUT'!D16^3.8701/1000,IF('DATA INPUT'!B16="V. ref",143.01*'DATA INPUT'!D16^3.3147/1000,IF('DATA INPUT'!B16=1,143.35*'DATA INPUT'!D16^3.6046/1000,IF('DATA INPUT'!B16=2,0.1656*'DATA INPUT'!D16^1.4655,FALSE)))))</f>
        <v>0</v>
      </c>
      <c r="C12" s="8" t="b">
        <f>IF('DATA INPUT'!B16="T. ser",0.3356*'DATA INPUT'!E16^0.9984,IF('DATA INPUT'!B16="S. mel",24.906*'DATA INPUT'!E16^4.7681/1000,IF('DATA INPUT'!B16="V. ref",118.45*'DATA INPUT'!E16^3.5959/1000,IF('DATA INPUT'!B16=1,55.075*'DATA INPUT'!E16^4.0991/1000,IF('DATA INPUT'!B16=2,0.3356*'DATA INPUT'!E16^0.9984,FALSE)))))</f>
        <v>0</v>
      </c>
      <c r="D12" s="18" t="b">
        <f>IF('DATA INPUT'!B16="T. ser",0.0615*('DATA INPUT'!F16*'DATA INPUT'!G16)^0.9573,IF('DATA INPUT'!B16="S. mel",46.162*('DATA INPUT'!F16*'DATA INPUT'!G16)^2.3652/1000,IF('DATA INPUT'!B16="V. ref",90.34*('DATA INPUT'!F16*'DATA INPUT'!G16)^1.9756/1000,IF('DATA INPUT'!B16=1,63.022*('DATA INPUT'!F16*'DATA INPUT'!G16)^2.1551/1000,IF('DATA INPUT'!B16=2,0.0615*('DATA INPUT'!F16*'DATA INPUT'!G16)^0.9573,FALSE)))))</f>
        <v>0</v>
      </c>
      <c r="E12" s="8" t="b">
        <f>IF('DATA INPUT'!B16="T. ser",5.0562*('DATA INPUT'!H16*'DATA INPUT'!I16)^0.9574,IF('DATA INPUT'!B16="S. mel",44047*('DATA INPUT'!H16*'DATA INPUT'!I16)^1.5456/1000,IF('DATA INPUT'!B16="V. ref",91930*('DATA INPUT'!H16*'DATA INPUT'!I16)^1.7774/1000,IF('DATA INPUT'!B16=1,62601*('DATA INPUT'!H16*'DATA INPUT'!I16)^1.6463/1000,IF('DATA INPUT'!B16=2,5.0562*('DATA INPUT'!H16*'DATA INPUT'!I16)^0.9574,FALSE)))))</f>
        <v>0</v>
      </c>
      <c r="F12" s="18" t="b">
        <f>IF('DATA INPUT'!B16="T. ser",0.0009*I12^0.4477,IF('DATA INPUT'!B16="S. mel",0.0000004*I12^1.4912/1000,IF('DATA INPUT'!B16="V. ref",0.00000005*I12^1.6284/1000,IF('DATA INPUT'!B16=1,0.0000007*I12^1.4601/1000,IF('DATA INPUT'!B16=2,0.0009*I12^0.4477,FALSE)))))</f>
        <v>0</v>
      </c>
      <c r="G12" s="57">
        <f t="shared" si="0"/>
        <v>0</v>
      </c>
      <c r="H12" s="57"/>
      <c r="I12" s="2" t="b">
        <f>IF('DATA INPUT'!B16="T. ser",3.142*'DATA INPUT'!N16^2*'DATA INPUT'!O16/3+3.142*'DATA INPUT'!P16^2/3*(3*'DATA INPUT'!N16-'DATA INPUT'!P16),IF('DATA INPUT'!B16="S. mel",3.142*'DATA INPUT'!N16^2*'DATA INPUT'!O16/3+3.142*'DATA INPUT'!P16^2/3*(3*'DATA INPUT'!N16-'DATA INPUT'!P16),IF('DATA INPUT'!B16="V. ref",3.142*'DATA INPUT'!N16^2*'DATA INPUT'!O16/3+3.142*'DATA INPUT'!P16^2/3*(3*'DATA INPUT'!N16-'DATA INPUT'!P16),IF('DATA INPUT'!B16=1,3.142*'DATA INPUT'!N16^2*'DATA INPUT'!O16/3+3.142*'DATA INPUT'!P16^2/3*(3*'DATA INPUT'!N16-'DATA INPUT'!P16),IF('DATA INPUT'!B16=2,3.142*'DATA INPUT'!N16^2*'DATA INPUT'!O16/3+3.142*'DATA INPUT'!P16^2/3*(3*'DATA INPUT'!N16-'DATA INPUT'!P16),FALSE)))))</f>
        <v>0</v>
      </c>
      <c r="J12" s="2" t="b">
        <f>IF('DATA INPUT'!B16="T. ser",0.0458*CALCULATIONS!I12^0.6841,IF('DATA INPUT'!B16="S. mel",0.6047*CALCULATIONS!I12^0.6433,IF('DATA INPUT'!B16="V. ref",0.77086*CALCULATIONS!I12^0.4936,IF('DATA INPUT'!B16=1,0.68778*CALCULATIONS!I12^0.56845,IF('DATA INPUT'!B16=2,0.0458*CALCULATIONS!I12^0.6841,FALSE)))))</f>
        <v>0</v>
      </c>
      <c r="K12" s="3">
        <f t="shared" si="1"/>
        <v>0</v>
      </c>
      <c r="L12" s="3" t="b">
        <f>IF('DATA INPUT'!B16="T. ser",('DATA INPUT'!D16+'DATA INPUT'!F16+'DATA INPUT'!H16+'DATA INPUT'!J16)/1.5,IF('DATA INPUT'!B16="V. ref",('DATA INPUT'!D16+'DATA INPUT'!F16+'DATA INPUT'!H16+'DATA INPUT'!J16)/1.5,IF('DATA INPUT'!B16="S. mel",('DATA INPUT'!D16+'DATA INPUT'!F16+'DATA INPUT'!H16+'DATA INPUT'!J16)/1.5,IF('DATA INPUT'!B16=1,('DATA INPUT'!D16+'DATA INPUT'!F16+'DATA INPUT'!H16+'DATA INPUT'!J16)/1.5,IF('DATA INPUT'!B16=2,('DATA INPUT'!D16+'DATA INPUT'!F16+'DATA INPUT'!H16+'DATA INPUT'!J16)/1.5,FALSE)))))</f>
        <v>0</v>
      </c>
      <c r="N12" s="16">
        <f>'DATA INPUT'!C16</f>
        <v>0</v>
      </c>
      <c r="O12" s="3" t="b">
        <f>IF('DATA INPUT'!B16="T. ser",0.3446*'DATA INPUT'!D16^1.0619,IF('DATA INPUT'!B16="S. mel",(1270.6*'DATA INPUT'!D16^2.0933)/1000,IF('DATA INPUT'!B16="V. ref",(816.25*'DATA INPUT'!D16^2.1754)/1000,IF('DATA INPUT'!B16=1,(1492.4*'DATA INPUT'!D16^1.7591)/1000,IF('DATA INPUT'!B16=2,0.3446*'DATA INPUT'!D16^1.0619,FALSE)))))</f>
        <v>0</v>
      </c>
      <c r="P12" s="3" t="b">
        <f>IF('DATA INPUT'!B16="T. ser",0.3662*'DATA INPUT'!E16^1.5061,IF('DATA INPUT'!B16="S. mel",(748.47*'DATA INPUT'!E16^2.2691)/1000,IF('DATA INPUT'!B16="V. ref",(953.69*'DATA INPUT'!E16^1.9524)/1000,IF('DATA INPUT'!B16=1,(695.02*'DATA INPUT'!E16^2.3452)/1000,IF('DATA INPUT'!B16=2,0.3662*'DATA INPUT'!E16^1.5061,FALSE)))))</f>
        <v>0</v>
      </c>
      <c r="Q12" s="3" t="b">
        <f>IF('DATA INPUT'!B16="T. ser",0.1225*('DATA INPUT'!F16*'DATA INPUT'!G16)^0.8272,IF('DATA INPUT'!B16="S. mel",(925.08*('DATA INPUT'!F16*'DATA INPUT'!G16)^1.1603)/1000,IF('DATA INPUT'!B16="V. ref",(776.29*('DATA INPUT'!F16*'DATA INPUT'!G16)^1.1226)/1000,IF('DATA INPUT'!B16=1,(884.6*('DATA INPUT'!F16*'DATA INPUT'!G16)^1.129)/1000,IF('DATA INPUT'!B16=2,0.1225*('DATA INPUT'!F16*'DATA INPUT'!G16)^0.8272,FALSE)))))</f>
        <v>0</v>
      </c>
      <c r="R12" s="3" t="b">
        <f>IF('DATA INPUT'!B16="T. ser",5.5287*('DATA INPUT'!H16*'DATA INPUT'!I16)^0.8272,IF('DATA INPUT'!B16="S. mel",(31469*('DATA INPUT'!H16*'DATA INPUT'!I16)^0.8608)/1000,IF('DATA INPUT'!B16="V. ref",(39394*('DATA INPUT'!H16*'DATA INPUT'!I16)^1.005)/1000,IF('DATA INPUT'!B16=1,(31791*('DATA INPUT'!H16*'DATA INPUT'!I16)^0.8467)/1000,IF('DATA INPUT'!B16=2,5.5287*('DATA INPUT'!H16*'DATA INPUT'!I16)^0.8272,FALSE)))))</f>
        <v>0</v>
      </c>
      <c r="S12" s="3" t="b">
        <f>IF('DATA INPUT'!B16="T. ser",0.0005*I12^0.5148,IF('DATA INPUT'!B16="S. mel",0.051*I12^0.7789/1000,IF('DATA INPUT'!B16="V. ref",0.0958*I12^0.7253/1000,IF('DATA INPUT'!B16=1,0.0426*I12^0.786/1000,IF('DATA INPUT'!B16=2,0.0005*I12^0.5148,FALSE)))))</f>
        <v>0</v>
      </c>
      <c r="T12" s="59">
        <f t="shared" si="2"/>
        <v>0</v>
      </c>
      <c r="V12" s="2" t="e">
        <f>V11*10000/$X$10</f>
        <v>#DIV/0!</v>
      </c>
      <c r="W12" s="2" t="e">
        <f>W11*10000/$X$10</f>
        <v>#DIV/0!</v>
      </c>
      <c r="X12" s="2" t="e">
        <f>X11*10000/$X$10</f>
        <v>#DIV/0!</v>
      </c>
      <c r="Y12" s="2" t="e">
        <f>Y11*10000/$X$10</f>
        <v>#DIV/0!</v>
      </c>
      <c r="Z12" s="2" t="e">
        <f>Z11*10000/$X$10</f>
        <v>#DIV/0!</v>
      </c>
      <c r="AB12">
        <f>'DATA INPUT'!Q16</f>
        <v>0</v>
      </c>
      <c r="AC12" s="2">
        <f>COUNTIF('DATA INPUT'!$C$7:$C$156,'DATA INPUT'!Q16)</f>
        <v>0</v>
      </c>
      <c r="AD12" s="2" t="e">
        <f>AC12*10000/RESULTS_REPORT!$C$18</f>
        <v>#DIV/0!</v>
      </c>
      <c r="AE12" s="2">
        <f t="shared" si="3"/>
        <v>0</v>
      </c>
      <c r="AF12" s="2" t="e">
        <f>AE12*10000/RESULTS_REPORT!$C$18</f>
        <v>#DIV/0!</v>
      </c>
      <c r="AG12" s="2">
        <f t="shared" si="4"/>
        <v>0</v>
      </c>
      <c r="AH12" s="2" t="e">
        <f>AG12*10000/RESULTS_REPORT!$C$18</f>
        <v>#DIV/0!</v>
      </c>
      <c r="AJ12" s="3">
        <f t="shared" si="5"/>
        <v>0</v>
      </c>
      <c r="AK12" s="2" t="e">
        <f>AJ12*10000/RESULTS_REPORT!$C$18</f>
        <v>#DIV/0!</v>
      </c>
      <c r="AL12" s="2">
        <f t="shared" si="6"/>
        <v>0</v>
      </c>
      <c r="AM12" s="3" t="e">
        <f>AL12*10000/RESULTS_REPORT!$C$18</f>
        <v>#DIV/0!</v>
      </c>
      <c r="AN12" s="3"/>
    </row>
    <row r="13" spans="1:46" x14ac:dyDescent="0.2">
      <c r="A13" s="16">
        <f>'DATA INPUT'!C17</f>
        <v>0</v>
      </c>
      <c r="B13" s="11" t="b">
        <f>IF('DATA INPUT'!B17="T. ser",0.1656*'DATA INPUT'!D17^1.4655,IF('DATA INPUT'!B17="S. mel",135.53*'DATA INPUT'!D17^3.8701/1000,IF('DATA INPUT'!B17="V. ref",143.01*'DATA INPUT'!D17^3.3147/1000,IF('DATA INPUT'!B17=1,143.35*'DATA INPUT'!D17^3.6046/1000,IF('DATA INPUT'!B17=2,0.1656*'DATA INPUT'!D17^1.4655,FALSE)))))</f>
        <v>0</v>
      </c>
      <c r="C13" s="8" t="b">
        <f>IF('DATA INPUT'!B17="T. ser",0.3356*'DATA INPUT'!E17^0.9984,IF('DATA INPUT'!B17="S. mel",24.906*'DATA INPUT'!E17^4.7681/1000,IF('DATA INPUT'!B17="V. ref",118.45*'DATA INPUT'!E17^3.5959/1000,IF('DATA INPUT'!B17=1,55.075*'DATA INPUT'!E17^4.0991/1000,IF('DATA INPUT'!B17=2,0.3356*'DATA INPUT'!E17^0.9984,FALSE)))))</f>
        <v>0</v>
      </c>
      <c r="D13" s="18" t="b">
        <f>IF('DATA INPUT'!B17="T. ser",0.0615*('DATA INPUT'!F17*'DATA INPUT'!G17)^0.9573,IF('DATA INPUT'!B17="S. mel",46.162*('DATA INPUT'!F17*'DATA INPUT'!G17)^2.3652/1000,IF('DATA INPUT'!B17="V. ref",90.34*('DATA INPUT'!F17*'DATA INPUT'!G17)^1.9756/1000,IF('DATA INPUT'!B17=1,63.022*('DATA INPUT'!F17*'DATA INPUT'!G17)^2.1551/1000,IF('DATA INPUT'!B17=2,0.0615*('DATA INPUT'!F17*'DATA INPUT'!G17)^0.9573,FALSE)))))</f>
        <v>0</v>
      </c>
      <c r="E13" s="8" t="b">
        <f>IF('DATA INPUT'!B17="T. ser",5.0562*('DATA INPUT'!H17*'DATA INPUT'!I17)^0.9574,IF('DATA INPUT'!B17="S. mel",44047*('DATA INPUT'!H17*'DATA INPUT'!I17)^1.5456/1000,IF('DATA INPUT'!B17="V. ref",91930*('DATA INPUT'!H17*'DATA INPUT'!I17)^1.7774/1000,IF('DATA INPUT'!B17=1,62601*('DATA INPUT'!H17*'DATA INPUT'!I17)^1.6463/1000,IF('DATA INPUT'!B17=2,5.0562*('DATA INPUT'!H17*'DATA INPUT'!I17)^0.9574,FALSE)))))</f>
        <v>0</v>
      </c>
      <c r="F13" s="18" t="b">
        <f>IF('DATA INPUT'!B17="T. ser",0.0009*I13^0.4477,IF('DATA INPUT'!B17="S. mel",0.0000004*I13^1.4912/1000,IF('DATA INPUT'!B17="V. ref",0.00000005*I13^1.6284/1000,IF('DATA INPUT'!B17=1,0.0000007*I13^1.4601/1000,IF('DATA INPUT'!B17=2,0.0009*I13^0.4477,FALSE)))))</f>
        <v>0</v>
      </c>
      <c r="G13" s="57">
        <f t="shared" si="0"/>
        <v>0</v>
      </c>
      <c r="H13" s="57"/>
      <c r="I13" s="2" t="b">
        <f>IF('DATA INPUT'!B17="T. ser",3.142*'DATA INPUT'!N17^2*'DATA INPUT'!O17/3+3.142*'DATA INPUT'!P17^2/3*(3*'DATA INPUT'!N17-'DATA INPUT'!P17),IF('DATA INPUT'!B17="S. mel",3.142*'DATA INPUT'!N17^2*'DATA INPUT'!O17/3+3.142*'DATA INPUT'!P17^2/3*(3*'DATA INPUT'!N17-'DATA INPUT'!P17),IF('DATA INPUT'!B17="V. ref",3.142*'DATA INPUT'!N17^2*'DATA INPUT'!O17/3+3.142*'DATA INPUT'!P17^2/3*(3*'DATA INPUT'!N17-'DATA INPUT'!P17),IF('DATA INPUT'!B17=1,3.142*'DATA INPUT'!N17^2*'DATA INPUT'!O17/3+3.142*'DATA INPUT'!P17^2/3*(3*'DATA INPUT'!N17-'DATA INPUT'!P17),IF('DATA INPUT'!B17=2,3.142*'DATA INPUT'!N17^2*'DATA INPUT'!O17/3+3.142*'DATA INPUT'!P17^2/3*(3*'DATA INPUT'!N17-'DATA INPUT'!P17),FALSE)))))</f>
        <v>0</v>
      </c>
      <c r="J13" s="2" t="b">
        <f>IF('DATA INPUT'!B17="T. ser",0.0458*CALCULATIONS!I13^0.6841,IF('DATA INPUT'!B17="S. mel",0.6047*CALCULATIONS!I13^0.6433,IF('DATA INPUT'!B17="V. ref",0.77086*CALCULATIONS!I13^0.4936,IF('DATA INPUT'!B17=1,0.68778*CALCULATIONS!I13^0.56845,IF('DATA INPUT'!B17=2,0.0458*CALCULATIONS!I13^0.6841,FALSE)))))</f>
        <v>0</v>
      </c>
      <c r="K13" s="3">
        <f t="shared" si="1"/>
        <v>0</v>
      </c>
      <c r="L13" s="3" t="b">
        <f>IF('DATA INPUT'!B17="T. ser",('DATA INPUT'!D17+'DATA INPUT'!F17+'DATA INPUT'!H17+'DATA INPUT'!J17)/1.5,IF('DATA INPUT'!B17="V. ref",('DATA INPUT'!D17+'DATA INPUT'!F17+'DATA INPUT'!H17+'DATA INPUT'!J17)/1.5,IF('DATA INPUT'!B17="S. mel",('DATA INPUT'!D17+'DATA INPUT'!F17+'DATA INPUT'!H17+'DATA INPUT'!J17)/1.5,IF('DATA INPUT'!B17=1,('DATA INPUT'!D17+'DATA INPUT'!F17+'DATA INPUT'!H17+'DATA INPUT'!J17)/1.5,IF('DATA INPUT'!B17=2,('DATA INPUT'!D17+'DATA INPUT'!F17+'DATA INPUT'!H17+'DATA INPUT'!J17)/1.5,FALSE)))))</f>
        <v>0</v>
      </c>
      <c r="N13" s="16">
        <f>'DATA INPUT'!C17</f>
        <v>0</v>
      </c>
      <c r="O13" s="3" t="b">
        <f>IF('DATA INPUT'!B17="T. ser",0.3446*'DATA INPUT'!D17^1.0619,IF('DATA INPUT'!B17="S. mel",(1270.6*'DATA INPUT'!D17^2.0933)/1000,IF('DATA INPUT'!B17="V. ref",(816.25*'DATA INPUT'!D17^2.1754)/1000,IF('DATA INPUT'!B17=1,(1492.4*'DATA INPUT'!D17^1.7591)/1000,IF('DATA INPUT'!B17=2,0.3446*'DATA INPUT'!D17^1.0619,FALSE)))))</f>
        <v>0</v>
      </c>
      <c r="P13" s="3" t="b">
        <f>IF('DATA INPUT'!B17="T. ser",0.3662*'DATA INPUT'!E17^1.5061,IF('DATA INPUT'!B17="S. mel",(748.47*'DATA INPUT'!E17^2.2691)/1000,IF('DATA INPUT'!B17="V. ref",(953.69*'DATA INPUT'!E17^1.9524)/1000,IF('DATA INPUT'!B17=1,(695.02*'DATA INPUT'!E17^2.3452)/1000,IF('DATA INPUT'!B17=2,0.3662*'DATA INPUT'!E17^1.5061,FALSE)))))</f>
        <v>0</v>
      </c>
      <c r="Q13" s="3" t="b">
        <f>IF('DATA INPUT'!B17="T. ser",0.1225*('DATA INPUT'!F17*'DATA INPUT'!G17)^0.8272,IF('DATA INPUT'!B17="S. mel",(925.08*('DATA INPUT'!F17*'DATA INPUT'!G17)^1.1603)/1000,IF('DATA INPUT'!B17="V. ref",(776.29*('DATA INPUT'!F17*'DATA INPUT'!G17)^1.1226)/1000,IF('DATA INPUT'!B17=1,(884.6*('DATA INPUT'!F17*'DATA INPUT'!G17)^1.129)/1000,IF('DATA INPUT'!B17=2,0.1225*('DATA INPUT'!F17*'DATA INPUT'!G17)^0.8272,FALSE)))))</f>
        <v>0</v>
      </c>
      <c r="R13" s="3" t="b">
        <f>IF('DATA INPUT'!B17="T. ser",5.5287*('DATA INPUT'!H17*'DATA INPUT'!I17)^0.8272,IF('DATA INPUT'!B17="S. mel",(31469*('DATA INPUT'!H17*'DATA INPUT'!I17)^0.8608)/1000,IF('DATA INPUT'!B17="V. ref",(39394*('DATA INPUT'!H17*'DATA INPUT'!I17)^1.005)/1000,IF('DATA INPUT'!B17=1,(31791*('DATA INPUT'!H17*'DATA INPUT'!I17)^0.8467)/1000,IF('DATA INPUT'!B17=2,5.5287*('DATA INPUT'!H17*'DATA INPUT'!I17)^0.8272,FALSE)))))</f>
        <v>0</v>
      </c>
      <c r="S13" s="3" t="b">
        <f>IF('DATA INPUT'!B17="T. ser",0.0005*I13^0.5148,IF('DATA INPUT'!B17="S. mel",0.051*I13^0.7789/1000,IF('DATA INPUT'!B17="V. ref",0.0958*I13^0.7253/1000,IF('DATA INPUT'!B17=1,0.0426*I13^0.786/1000,IF('DATA INPUT'!B17=2,0.0005*I13^0.5148,FALSE)))))</f>
        <v>0</v>
      </c>
      <c r="T13" s="59">
        <f t="shared" si="2"/>
        <v>0</v>
      </c>
      <c r="AB13">
        <f>'DATA INPUT'!Q17</f>
        <v>0</v>
      </c>
      <c r="AC13" s="2">
        <f>COUNTIF('DATA INPUT'!$C$7:$C$156,'DATA INPUT'!Q17)</f>
        <v>0</v>
      </c>
      <c r="AD13" s="2" t="e">
        <f>AC13*10000/RESULTS_REPORT!$C$18</f>
        <v>#DIV/0!</v>
      </c>
      <c r="AE13" s="2">
        <f t="shared" si="3"/>
        <v>0</v>
      </c>
      <c r="AF13" s="2" t="e">
        <f>AE13*10000/RESULTS_REPORT!$C$18</f>
        <v>#DIV/0!</v>
      </c>
      <c r="AG13" s="2">
        <f t="shared" si="4"/>
        <v>0</v>
      </c>
      <c r="AH13" s="2" t="e">
        <f>AG13*10000/RESULTS_REPORT!$C$18</f>
        <v>#DIV/0!</v>
      </c>
      <c r="AJ13" s="3">
        <f t="shared" si="5"/>
        <v>0</v>
      </c>
      <c r="AK13" s="2" t="e">
        <f>AJ13*10000/RESULTS_REPORT!$C$18</f>
        <v>#DIV/0!</v>
      </c>
      <c r="AL13" s="2">
        <f t="shared" si="6"/>
        <v>0</v>
      </c>
      <c r="AM13" s="3" t="e">
        <f>AL13*10000/RESULTS_REPORT!$C$18</f>
        <v>#DIV/0!</v>
      </c>
      <c r="AN13" s="3"/>
    </row>
    <row r="14" spans="1:46" x14ac:dyDescent="0.2">
      <c r="A14" s="16">
        <f>'DATA INPUT'!C18</f>
        <v>0</v>
      </c>
      <c r="B14" s="11" t="b">
        <f>IF('DATA INPUT'!B18="T. ser",0.1656*'DATA INPUT'!D18^1.4655,IF('DATA INPUT'!B18="S. mel",135.53*'DATA INPUT'!D18^3.8701/1000,IF('DATA INPUT'!B18="V. ref",143.01*'DATA INPUT'!D18^3.3147/1000,IF('DATA INPUT'!B18=1,143.35*'DATA INPUT'!D18^3.6046/1000,IF('DATA INPUT'!B18=2,0.1656*'DATA INPUT'!D18^1.4655,FALSE)))))</f>
        <v>0</v>
      </c>
      <c r="C14" s="8" t="b">
        <f>IF('DATA INPUT'!B18="T. ser",0.3356*'DATA INPUT'!E18^0.9984,IF('DATA INPUT'!B18="S. mel",24.906*'DATA INPUT'!E18^4.7681/1000,IF('DATA INPUT'!B18="V. ref",118.45*'DATA INPUT'!E18^3.5959/1000,IF('DATA INPUT'!B18=1,55.075*'DATA INPUT'!E18^4.0991/1000,IF('DATA INPUT'!B18=2,0.3356*'DATA INPUT'!E18^0.9984,FALSE)))))</f>
        <v>0</v>
      </c>
      <c r="D14" s="18" t="b">
        <f>IF('DATA INPUT'!B18="T. ser",0.0615*('DATA INPUT'!F18*'DATA INPUT'!G18)^0.9573,IF('DATA INPUT'!B18="S. mel",46.162*('DATA INPUT'!F18*'DATA INPUT'!G18)^2.3652/1000,IF('DATA INPUT'!B18="V. ref",90.34*('DATA INPUT'!F18*'DATA INPUT'!G18)^1.9756/1000,IF('DATA INPUT'!B18=1,63.022*('DATA INPUT'!F18*'DATA INPUT'!G18)^2.1551/1000,IF('DATA INPUT'!B18=2,0.0615*('DATA INPUT'!F18*'DATA INPUT'!G18)^0.9573,FALSE)))))</f>
        <v>0</v>
      </c>
      <c r="E14" s="8" t="b">
        <f>IF('DATA INPUT'!B18="T. ser",5.0562*('DATA INPUT'!H18*'DATA INPUT'!I18)^0.9574,IF('DATA INPUT'!B18="S. mel",44047*('DATA INPUT'!H18*'DATA INPUT'!I18)^1.5456/1000,IF('DATA INPUT'!B18="V. ref",91930*('DATA INPUT'!H18*'DATA INPUT'!I18)^1.7774/1000,IF('DATA INPUT'!B18=1,62601*('DATA INPUT'!H18*'DATA INPUT'!I18)^1.6463/1000,IF('DATA INPUT'!B18=2,5.0562*('DATA INPUT'!H18*'DATA INPUT'!I18)^0.9574,FALSE)))))</f>
        <v>0</v>
      </c>
      <c r="F14" s="18" t="b">
        <f>IF('DATA INPUT'!B18="T. ser",0.0009*I14^0.4477,IF('DATA INPUT'!B18="S. mel",0.0000004*I14^1.4912/1000,IF('DATA INPUT'!B18="V. ref",0.00000005*I14^1.6284/1000,IF('DATA INPUT'!B18=1,0.0000007*I14^1.4601/1000,IF('DATA INPUT'!B18=2,0.0009*I14^0.4477,FALSE)))))</f>
        <v>0</v>
      </c>
      <c r="G14" s="57">
        <f t="shared" si="0"/>
        <v>0</v>
      </c>
      <c r="H14" s="57"/>
      <c r="I14" s="2" t="b">
        <f>IF('DATA INPUT'!B18="T. ser",3.142*'DATA INPUT'!N18^2*'DATA INPUT'!O18/3+3.142*'DATA INPUT'!P18^2/3*(3*'DATA INPUT'!N18-'DATA INPUT'!P18),IF('DATA INPUT'!B18="S. mel",3.142*'DATA INPUT'!N18^2*'DATA INPUT'!O18/3+3.142*'DATA INPUT'!P18^2/3*(3*'DATA INPUT'!N18-'DATA INPUT'!P18),IF('DATA INPUT'!B18="V. ref",3.142*'DATA INPUT'!N18^2*'DATA INPUT'!O18/3+3.142*'DATA INPUT'!P18^2/3*(3*'DATA INPUT'!N18-'DATA INPUT'!P18),IF('DATA INPUT'!B18=1,3.142*'DATA INPUT'!N18^2*'DATA INPUT'!O18/3+3.142*'DATA INPUT'!P18^2/3*(3*'DATA INPUT'!N18-'DATA INPUT'!P18),IF('DATA INPUT'!B18=2,3.142*'DATA INPUT'!N18^2*'DATA INPUT'!O18/3+3.142*'DATA INPUT'!P18^2/3*(3*'DATA INPUT'!N18-'DATA INPUT'!P18),FALSE)))))</f>
        <v>0</v>
      </c>
      <c r="J14" s="2" t="b">
        <f>IF('DATA INPUT'!B18="T. ser",0.0458*CALCULATIONS!I14^0.6841,IF('DATA INPUT'!B18="S. mel",0.6047*CALCULATIONS!I14^0.6433,IF('DATA INPUT'!B18="V. ref",0.77086*CALCULATIONS!I14^0.4936,IF('DATA INPUT'!B18=1,0.68778*CALCULATIONS!I14^0.56845,IF('DATA INPUT'!B18=2,0.0458*CALCULATIONS!I14^0.6841,FALSE)))))</f>
        <v>0</v>
      </c>
      <c r="K14" s="3">
        <f t="shared" si="1"/>
        <v>0</v>
      </c>
      <c r="L14" s="3" t="b">
        <f>IF('DATA INPUT'!B18="T. ser",('DATA INPUT'!D18+'DATA INPUT'!F18+'DATA INPUT'!H18+'DATA INPUT'!J18)/1.5,IF('DATA INPUT'!B18="V. ref",('DATA INPUT'!D18+'DATA INPUT'!F18+'DATA INPUT'!H18+'DATA INPUT'!J18)/1.5,IF('DATA INPUT'!B18="S. mel",('DATA INPUT'!D18+'DATA INPUT'!F18+'DATA INPUT'!H18+'DATA INPUT'!J18)/1.5,IF('DATA INPUT'!B18=1,('DATA INPUT'!D18+'DATA INPUT'!F18+'DATA INPUT'!H18+'DATA INPUT'!J18)/1.5,IF('DATA INPUT'!B18=2,('DATA INPUT'!D18+'DATA INPUT'!F18+'DATA INPUT'!H18+'DATA INPUT'!J18)/1.5,FALSE)))))</f>
        <v>0</v>
      </c>
      <c r="N14" s="16">
        <f>'DATA INPUT'!C18</f>
        <v>0</v>
      </c>
      <c r="O14" s="3" t="b">
        <f>IF('DATA INPUT'!B18="T. ser",0.3446*'DATA INPUT'!D18^1.0619,IF('DATA INPUT'!B18="S. mel",(1270.6*'DATA INPUT'!D18^2.0933)/1000,IF('DATA INPUT'!B18="V. ref",(816.25*'DATA INPUT'!D18^2.1754)/1000,IF('DATA INPUT'!B18=1,(1492.4*'DATA INPUT'!D18^1.7591)/1000,IF('DATA INPUT'!B18=2,0.3446*'DATA INPUT'!D18^1.0619,FALSE)))))</f>
        <v>0</v>
      </c>
      <c r="P14" s="3" t="b">
        <f>IF('DATA INPUT'!B18="T. ser",0.3662*'DATA INPUT'!E18^1.5061,IF('DATA INPUT'!B18="S. mel",(748.47*'DATA INPUT'!E18^2.2691)/1000,IF('DATA INPUT'!B18="V. ref",(953.69*'DATA INPUT'!E18^1.9524)/1000,IF('DATA INPUT'!B18=1,(695.02*'DATA INPUT'!E18^2.3452)/1000,IF('DATA INPUT'!B18=2,0.3662*'DATA INPUT'!E18^1.5061,FALSE)))))</f>
        <v>0</v>
      </c>
      <c r="Q14" s="3" t="b">
        <f>IF('DATA INPUT'!B18="T. ser",0.1225*('DATA INPUT'!F18*'DATA INPUT'!G18)^0.8272,IF('DATA INPUT'!B18="S. mel",(925.08*('DATA INPUT'!F18*'DATA INPUT'!G18)^1.1603)/1000,IF('DATA INPUT'!B18="V. ref",(776.29*('DATA INPUT'!F18*'DATA INPUT'!G18)^1.1226)/1000,IF('DATA INPUT'!B18=1,(884.6*('DATA INPUT'!F18*'DATA INPUT'!G18)^1.129)/1000,IF('DATA INPUT'!B18=2,0.1225*('DATA INPUT'!F18*'DATA INPUT'!G18)^0.8272,FALSE)))))</f>
        <v>0</v>
      </c>
      <c r="R14" s="3" t="b">
        <f>IF('DATA INPUT'!B18="T. ser",5.5287*('DATA INPUT'!H18*'DATA INPUT'!I18)^0.8272,IF('DATA INPUT'!B18="S. mel",(31469*('DATA INPUT'!H18*'DATA INPUT'!I18)^0.8608)/1000,IF('DATA INPUT'!B18="V. ref",(39394*('DATA INPUT'!H18*'DATA INPUT'!I18)^1.005)/1000,IF('DATA INPUT'!B18=1,(31791*('DATA INPUT'!H18*'DATA INPUT'!I18)^0.8467)/1000,IF('DATA INPUT'!B18=2,5.5287*('DATA INPUT'!H18*'DATA INPUT'!I18)^0.8272,FALSE)))))</f>
        <v>0</v>
      </c>
      <c r="S14" s="3" t="b">
        <f>IF('DATA INPUT'!B18="T. ser",0.0005*I14^0.5148,IF('DATA INPUT'!B18="S. mel",0.051*I14^0.7789/1000,IF('DATA INPUT'!B18="V. ref",0.0958*I14^0.7253/1000,IF('DATA INPUT'!B18=1,0.0426*I14^0.786/1000,IF('DATA INPUT'!B18=2,0.0005*I14^0.5148,FALSE)))))</f>
        <v>0</v>
      </c>
      <c r="T14" s="59">
        <f t="shared" si="2"/>
        <v>0</v>
      </c>
      <c r="V14" s="13"/>
      <c r="W14" s="13"/>
      <c r="X14" s="13"/>
      <c r="Y14" s="13"/>
      <c r="Z14" s="13"/>
      <c r="AB14">
        <f>'DATA INPUT'!Q18</f>
        <v>0</v>
      </c>
      <c r="AC14" s="2">
        <f>COUNTIF('DATA INPUT'!$C$7:$C$156,'DATA INPUT'!Q18)</f>
        <v>0</v>
      </c>
      <c r="AD14" s="2" t="e">
        <f>AC14*10000/RESULTS_REPORT!$C$18</f>
        <v>#DIV/0!</v>
      </c>
      <c r="AE14" s="2">
        <f t="shared" si="3"/>
        <v>0</v>
      </c>
      <c r="AF14" s="2" t="e">
        <f>AE14*10000/RESULTS_REPORT!$C$18</f>
        <v>#DIV/0!</v>
      </c>
      <c r="AG14" s="2">
        <f t="shared" si="4"/>
        <v>0</v>
      </c>
      <c r="AH14" s="2" t="e">
        <f>AG14*10000/RESULTS_REPORT!$C$18</f>
        <v>#DIV/0!</v>
      </c>
      <c r="AJ14" s="3">
        <f t="shared" si="5"/>
        <v>0</v>
      </c>
      <c r="AK14" s="2" t="e">
        <f>AJ14*10000/RESULTS_REPORT!$C$18</f>
        <v>#DIV/0!</v>
      </c>
      <c r="AL14" s="2">
        <f t="shared" si="6"/>
        <v>0</v>
      </c>
      <c r="AM14" s="3" t="e">
        <f>AL14*10000/RESULTS_REPORT!$C$18</f>
        <v>#DIV/0!</v>
      </c>
      <c r="AN14" s="3"/>
    </row>
    <row r="15" spans="1:46" x14ac:dyDescent="0.2">
      <c r="A15" s="16">
        <f>'DATA INPUT'!C19</f>
        <v>0</v>
      </c>
      <c r="B15" s="11" t="b">
        <f>IF('DATA INPUT'!B19="T. ser",0.1656*'DATA INPUT'!D19^1.4655,IF('DATA INPUT'!B19="S. mel",135.53*'DATA INPUT'!D19^3.8701/1000,IF('DATA INPUT'!B19="V. ref",143.01*'DATA INPUT'!D19^3.3147/1000,IF('DATA INPUT'!B19=1,143.35*'DATA INPUT'!D19^3.6046/1000,IF('DATA INPUT'!B19=2,0.1656*'DATA INPUT'!D19^1.4655,FALSE)))))</f>
        <v>0</v>
      </c>
      <c r="C15" s="8" t="b">
        <f>IF('DATA INPUT'!B19="T. ser",0.3356*'DATA INPUT'!E19^0.9984,IF('DATA INPUT'!B19="S. mel",24.906*'DATA INPUT'!E19^4.7681/1000,IF('DATA INPUT'!B19="V. ref",118.45*'DATA INPUT'!E19^3.5959/1000,IF('DATA INPUT'!B19=1,55.075*'DATA INPUT'!E19^4.0991/1000,IF('DATA INPUT'!B19=2,0.3356*'DATA INPUT'!E19^0.9984,FALSE)))))</f>
        <v>0</v>
      </c>
      <c r="D15" s="18" t="b">
        <f>IF('DATA INPUT'!B19="T. ser",0.0615*('DATA INPUT'!F19*'DATA INPUT'!G19)^0.9573,IF('DATA INPUT'!B19="S. mel",46.162*('DATA INPUT'!F19*'DATA INPUT'!G19)^2.3652/1000,IF('DATA INPUT'!B19="V. ref",90.34*('DATA INPUT'!F19*'DATA INPUT'!G19)^1.9756/1000,IF('DATA INPUT'!B19=1,63.022*('DATA INPUT'!F19*'DATA INPUT'!G19)^2.1551/1000,IF('DATA INPUT'!B19=2,0.0615*('DATA INPUT'!F19*'DATA INPUT'!G19)^0.9573,FALSE)))))</f>
        <v>0</v>
      </c>
      <c r="E15" s="8" t="b">
        <f>IF('DATA INPUT'!B19="T. ser",5.0562*('DATA INPUT'!H19*'DATA INPUT'!I19)^0.9574,IF('DATA INPUT'!B19="S. mel",44047*('DATA INPUT'!H19*'DATA INPUT'!I19)^1.5456/1000,IF('DATA INPUT'!B19="V. ref",91930*('DATA INPUT'!H19*'DATA INPUT'!I19)^1.7774/1000,IF('DATA INPUT'!B19=1,62601*('DATA INPUT'!H19*'DATA INPUT'!I19)^1.6463/1000,IF('DATA INPUT'!B19=2,5.0562*('DATA INPUT'!H19*'DATA INPUT'!I19)^0.9574,FALSE)))))</f>
        <v>0</v>
      </c>
      <c r="F15" s="18" t="b">
        <f>IF('DATA INPUT'!B19="T. ser",0.0009*I15^0.4477,IF('DATA INPUT'!B19="S. mel",0.0000004*I15^1.4912/1000,IF('DATA INPUT'!B19="V. ref",0.00000005*I15^1.6284/1000,IF('DATA INPUT'!B19=1,0.0000007*I15^1.4601/1000,IF('DATA INPUT'!B19=2,0.0009*I15^0.4477,FALSE)))))</f>
        <v>0</v>
      </c>
      <c r="G15" s="57">
        <f t="shared" si="0"/>
        <v>0</v>
      </c>
      <c r="H15" s="57"/>
      <c r="I15" s="2" t="b">
        <f>IF('DATA INPUT'!B19="T. ser",3.142*'DATA INPUT'!N19^2*'DATA INPUT'!O19/3+3.142*'DATA INPUT'!P19^2/3*(3*'DATA INPUT'!N19-'DATA INPUT'!P19),IF('DATA INPUT'!B19="S. mel",3.142*'DATA INPUT'!N19^2*'DATA INPUT'!O19/3+3.142*'DATA INPUT'!P19^2/3*(3*'DATA INPUT'!N19-'DATA INPUT'!P19),IF('DATA INPUT'!B19="V. ref",3.142*'DATA INPUT'!N19^2*'DATA INPUT'!O19/3+3.142*'DATA INPUT'!P19^2/3*(3*'DATA INPUT'!N19-'DATA INPUT'!P19),IF('DATA INPUT'!B19=1,3.142*'DATA INPUT'!N19^2*'DATA INPUT'!O19/3+3.142*'DATA INPUT'!P19^2/3*(3*'DATA INPUT'!N19-'DATA INPUT'!P19),IF('DATA INPUT'!B19=2,3.142*'DATA INPUT'!N19^2*'DATA INPUT'!O19/3+3.142*'DATA INPUT'!P19^2/3*(3*'DATA INPUT'!N19-'DATA INPUT'!P19),FALSE)))))</f>
        <v>0</v>
      </c>
      <c r="J15" s="2" t="b">
        <f>IF('DATA INPUT'!B19="T. ser",0.0458*CALCULATIONS!I15^0.6841,IF('DATA INPUT'!B19="S. mel",0.6047*CALCULATIONS!I15^0.6433,IF('DATA INPUT'!B19="V. ref",0.77086*CALCULATIONS!I15^0.4936,IF('DATA INPUT'!B19=1,0.68778*CALCULATIONS!I15^0.56845,IF('DATA INPUT'!B19=2,0.0458*CALCULATIONS!I15^0.6841,FALSE)))))</f>
        <v>0</v>
      </c>
      <c r="K15" s="3">
        <f t="shared" si="1"/>
        <v>0</v>
      </c>
      <c r="L15" s="3" t="b">
        <f>IF('DATA INPUT'!B19="T. ser",('DATA INPUT'!D19+'DATA INPUT'!F19+'DATA INPUT'!H19+'DATA INPUT'!J19)/1.5,IF('DATA INPUT'!B19="V. ref",('DATA INPUT'!D19+'DATA INPUT'!F19+'DATA INPUT'!H19+'DATA INPUT'!J19)/1.5,IF('DATA INPUT'!B19="S. mel",('DATA INPUT'!D19+'DATA INPUT'!F19+'DATA INPUT'!H19+'DATA INPUT'!J19)/1.5,IF('DATA INPUT'!B19=1,('DATA INPUT'!D19+'DATA INPUT'!F19+'DATA INPUT'!H19+'DATA INPUT'!J19)/1.5,IF('DATA INPUT'!B19=2,('DATA INPUT'!D19+'DATA INPUT'!F19+'DATA INPUT'!H19+'DATA INPUT'!J19)/1.5,FALSE)))))</f>
        <v>0</v>
      </c>
      <c r="N15" s="16">
        <f>'DATA INPUT'!C19</f>
        <v>0</v>
      </c>
      <c r="O15" s="3" t="b">
        <f>IF('DATA INPUT'!B19="T. ser",0.3446*'DATA INPUT'!D19^1.0619,IF('DATA INPUT'!B19="S. mel",(1270.6*'DATA INPUT'!D19^2.0933)/1000,IF('DATA INPUT'!B19="V. ref",(816.25*'DATA INPUT'!D19^2.1754)/1000,IF('DATA INPUT'!B19=1,(1492.4*'DATA INPUT'!D19^1.7591)/1000,IF('DATA INPUT'!B19=2,0.3446*'DATA INPUT'!D19^1.0619,FALSE)))))</f>
        <v>0</v>
      </c>
      <c r="P15" s="3" t="b">
        <f>IF('DATA INPUT'!B19="T. ser",0.3662*'DATA INPUT'!E19^1.5061,IF('DATA INPUT'!B19="S. mel",(748.47*'DATA INPUT'!E19^2.2691)/1000,IF('DATA INPUT'!B19="V. ref",(953.69*'DATA INPUT'!E19^1.9524)/1000,IF('DATA INPUT'!B19=1,(695.02*'DATA INPUT'!E19^2.3452)/1000,IF('DATA INPUT'!B19=2,0.3662*'DATA INPUT'!E19^1.5061,FALSE)))))</f>
        <v>0</v>
      </c>
      <c r="Q15" s="3" t="b">
        <f>IF('DATA INPUT'!B19="T. ser",0.1225*('DATA INPUT'!F19*'DATA INPUT'!G19)^0.8272,IF('DATA INPUT'!B19="S. mel",(925.08*('DATA INPUT'!F19*'DATA INPUT'!G19)^1.1603)/1000,IF('DATA INPUT'!B19="V. ref",(776.29*('DATA INPUT'!F19*'DATA INPUT'!G19)^1.1226)/1000,IF('DATA INPUT'!B19=1,(884.6*('DATA INPUT'!F19*'DATA INPUT'!G19)^1.129)/1000,IF('DATA INPUT'!B19=2,0.1225*('DATA INPUT'!F19*'DATA INPUT'!G19)^0.8272,FALSE)))))</f>
        <v>0</v>
      </c>
      <c r="R15" s="3" t="b">
        <f>IF('DATA INPUT'!B19="T. ser",5.5287*('DATA INPUT'!H19*'DATA INPUT'!I19)^0.8272,IF('DATA INPUT'!B19="S. mel",(31469*('DATA INPUT'!H19*'DATA INPUT'!I19)^0.8608)/1000,IF('DATA INPUT'!B19="V. ref",(39394*('DATA INPUT'!H19*'DATA INPUT'!I19)^1.005)/1000,IF('DATA INPUT'!B19=1,(31791*('DATA INPUT'!H19*'DATA INPUT'!I19)^0.8467)/1000,IF('DATA INPUT'!B19=2,5.5287*('DATA INPUT'!H19*'DATA INPUT'!I19)^0.8272,FALSE)))))</f>
        <v>0</v>
      </c>
      <c r="S15" s="3" t="b">
        <f>IF('DATA INPUT'!B19="T. ser",0.0005*I15^0.5148,IF('DATA INPUT'!B19="S. mel",0.051*I15^0.7789/1000,IF('DATA INPUT'!B19="V. ref",0.0958*I15^0.7253/1000,IF('DATA INPUT'!B19=1,0.0426*I15^0.786/1000,IF('DATA INPUT'!B19=2,0.0005*I15^0.5148,FALSE)))))</f>
        <v>0</v>
      </c>
      <c r="T15" s="59">
        <f t="shared" si="2"/>
        <v>0</v>
      </c>
      <c r="V15" s="13"/>
      <c r="W15" s="13"/>
      <c r="X15" s="13"/>
      <c r="Y15" s="13"/>
      <c r="Z15" s="13"/>
      <c r="AB15">
        <f>'DATA INPUT'!Q19</f>
        <v>0</v>
      </c>
      <c r="AC15" s="2">
        <f>COUNTIF('DATA INPUT'!$C$7:$C$156,'DATA INPUT'!Q19)</f>
        <v>0</v>
      </c>
      <c r="AD15" s="2" t="e">
        <f>AC15*10000/RESULTS_REPORT!$C$18</f>
        <v>#DIV/0!</v>
      </c>
      <c r="AE15" s="2">
        <f t="shared" si="3"/>
        <v>0</v>
      </c>
      <c r="AF15" s="2" t="e">
        <f>AE15*10000/RESULTS_REPORT!$C$18</f>
        <v>#DIV/0!</v>
      </c>
      <c r="AG15" s="2">
        <f t="shared" si="4"/>
        <v>0</v>
      </c>
      <c r="AH15" s="2" t="e">
        <f>AG15*10000/RESULTS_REPORT!$C$18</f>
        <v>#DIV/0!</v>
      </c>
      <c r="AJ15" s="3">
        <f t="shared" si="5"/>
        <v>0</v>
      </c>
      <c r="AK15" s="2" t="e">
        <f>AJ15*10000/RESULTS_REPORT!$C$18</f>
        <v>#DIV/0!</v>
      </c>
      <c r="AL15" s="2">
        <f t="shared" si="6"/>
        <v>0</v>
      </c>
      <c r="AM15" s="3" t="e">
        <f>AL15*10000/RESULTS_REPORT!$C$18</f>
        <v>#DIV/0!</v>
      </c>
      <c r="AN15" s="3"/>
    </row>
    <row r="16" spans="1:46" x14ac:dyDescent="0.2">
      <c r="A16" s="16">
        <f>'DATA INPUT'!C20</f>
        <v>0</v>
      </c>
      <c r="B16" s="11" t="b">
        <f>IF('DATA INPUT'!B20="T. ser",0.1656*'DATA INPUT'!D20^1.4655,IF('DATA INPUT'!B20="S. mel",135.53*'DATA INPUT'!D20^3.8701/1000,IF('DATA INPUT'!B20="V. ref",143.01*'DATA INPUT'!D20^3.3147/1000,IF('DATA INPUT'!B20=1,143.35*'DATA INPUT'!D20^3.6046/1000,IF('DATA INPUT'!B20=2,0.1656*'DATA INPUT'!D20^1.4655,FALSE)))))</f>
        <v>0</v>
      </c>
      <c r="C16" s="8" t="b">
        <f>IF('DATA INPUT'!B20="T. ser",0.3356*'DATA INPUT'!E20^0.9984,IF('DATA INPUT'!B20="S. mel",24.906*'DATA INPUT'!E20^4.7681/1000,IF('DATA INPUT'!B20="V. ref",118.45*'DATA INPUT'!E20^3.5959/1000,IF('DATA INPUT'!B20=1,55.075*'DATA INPUT'!E20^4.0991/1000,IF('DATA INPUT'!B20=2,0.3356*'DATA INPUT'!E20^0.9984,FALSE)))))</f>
        <v>0</v>
      </c>
      <c r="D16" s="18" t="b">
        <f>IF('DATA INPUT'!B20="T. ser",0.0615*('DATA INPUT'!F20*'DATA INPUT'!G20)^0.9573,IF('DATA INPUT'!B20="S. mel",46.162*('DATA INPUT'!F20*'DATA INPUT'!G20)^2.3652/1000,IF('DATA INPUT'!B20="V. ref",90.34*('DATA INPUT'!F20*'DATA INPUT'!G20)^1.9756/1000,IF('DATA INPUT'!B20=1,63.022*('DATA INPUT'!F20*'DATA INPUT'!G20)^2.1551/1000,IF('DATA INPUT'!B20=2,0.0615*('DATA INPUT'!F20*'DATA INPUT'!G20)^0.9573,FALSE)))))</f>
        <v>0</v>
      </c>
      <c r="E16" s="8" t="b">
        <f>IF('DATA INPUT'!B20="T. ser",5.0562*('DATA INPUT'!H20*'DATA INPUT'!I20)^0.9574,IF('DATA INPUT'!B20="S. mel",44047*('DATA INPUT'!H20*'DATA INPUT'!I20)^1.5456/1000,IF('DATA INPUT'!B20="V. ref",91930*('DATA INPUT'!H20*'DATA INPUT'!I20)^1.7774/1000,IF('DATA INPUT'!B20=1,62601*('DATA INPUT'!H20*'DATA INPUT'!I20)^1.6463/1000,IF('DATA INPUT'!B20=2,5.0562*('DATA INPUT'!H20*'DATA INPUT'!I20)^0.9574,FALSE)))))</f>
        <v>0</v>
      </c>
      <c r="F16" s="18" t="b">
        <f>IF('DATA INPUT'!B20="T. ser",0.0009*I16^0.4477,IF('DATA INPUT'!B20="S. mel",0.0000004*I16^1.4912/1000,IF('DATA INPUT'!B20="V. ref",0.00000005*I16^1.6284/1000,IF('DATA INPUT'!B20=1,0.0000007*I16^1.4601/1000,IF('DATA INPUT'!B20=2,0.0009*I16^0.4477,FALSE)))))</f>
        <v>0</v>
      </c>
      <c r="G16" s="57">
        <f t="shared" si="0"/>
        <v>0</v>
      </c>
      <c r="H16" s="57"/>
      <c r="I16" s="2" t="b">
        <f>IF('DATA INPUT'!B20="T. ser",3.142*'DATA INPUT'!N20^2*'DATA INPUT'!O20/3+3.142*'DATA INPUT'!P20^2/3*(3*'DATA INPUT'!N20-'DATA INPUT'!P20),IF('DATA INPUT'!B20="S. mel",3.142*'DATA INPUT'!N20^2*'DATA INPUT'!O20/3+3.142*'DATA INPUT'!P20^2/3*(3*'DATA INPUT'!N20-'DATA INPUT'!P20),IF('DATA INPUT'!B20="V. ref",3.142*'DATA INPUT'!N20^2*'DATA INPUT'!O20/3+3.142*'DATA INPUT'!P20^2/3*(3*'DATA INPUT'!N20-'DATA INPUT'!P20),IF('DATA INPUT'!B20=1,3.142*'DATA INPUT'!N20^2*'DATA INPUT'!O20/3+3.142*'DATA INPUT'!P20^2/3*(3*'DATA INPUT'!N20-'DATA INPUT'!P20),IF('DATA INPUT'!B20=2,3.142*'DATA INPUT'!N20^2*'DATA INPUT'!O20/3+3.142*'DATA INPUT'!P20^2/3*(3*'DATA INPUT'!N20-'DATA INPUT'!P20),FALSE)))))</f>
        <v>0</v>
      </c>
      <c r="J16" s="2" t="b">
        <f>IF('DATA INPUT'!B20="T. ser",0.0458*CALCULATIONS!I16^0.6841,IF('DATA INPUT'!B20="S. mel",0.6047*CALCULATIONS!I16^0.6433,IF('DATA INPUT'!B20="V. ref",0.77086*CALCULATIONS!I16^0.4936,IF('DATA INPUT'!B20=1,0.68778*CALCULATIONS!I16^0.56845,IF('DATA INPUT'!B20=2,0.0458*CALCULATIONS!I16^0.6841,FALSE)))))</f>
        <v>0</v>
      </c>
      <c r="K16" s="3">
        <f t="shared" si="1"/>
        <v>0</v>
      </c>
      <c r="L16" s="3" t="b">
        <f>IF('DATA INPUT'!B20="T. ser",('DATA INPUT'!D20+'DATA INPUT'!F20+'DATA INPUT'!H20+'DATA INPUT'!J20)/1.5,IF('DATA INPUT'!B20="V. ref",('DATA INPUT'!D20+'DATA INPUT'!F20+'DATA INPUT'!H20+'DATA INPUT'!J20)/1.5,IF('DATA INPUT'!B20="S. mel",('DATA INPUT'!D20+'DATA INPUT'!F20+'DATA INPUT'!H20+'DATA INPUT'!J20)/1.5,IF('DATA INPUT'!B20=1,('DATA INPUT'!D20+'DATA INPUT'!F20+'DATA INPUT'!H20+'DATA INPUT'!J20)/1.5,IF('DATA INPUT'!B20=2,('DATA INPUT'!D20+'DATA INPUT'!F20+'DATA INPUT'!H20+'DATA INPUT'!J20)/1.5,FALSE)))))</f>
        <v>0</v>
      </c>
      <c r="N16" s="16">
        <f>'DATA INPUT'!C20</f>
        <v>0</v>
      </c>
      <c r="O16" s="3" t="b">
        <f>IF('DATA INPUT'!B20="T. ser",0.3446*'DATA INPUT'!D20^1.0619,IF('DATA INPUT'!B20="S. mel",(1270.6*'DATA INPUT'!D20^2.0933)/1000,IF('DATA INPUT'!B20="V. ref",(816.25*'DATA INPUT'!D20^2.1754)/1000,IF('DATA INPUT'!B20=1,(1492.4*'DATA INPUT'!D20^1.7591)/1000,IF('DATA INPUT'!B20=2,0.3446*'DATA INPUT'!D20^1.0619,FALSE)))))</f>
        <v>0</v>
      </c>
      <c r="P16" s="3" t="b">
        <f>IF('DATA INPUT'!B20="T. ser",0.3662*'DATA INPUT'!E20^1.5061,IF('DATA INPUT'!B20="S. mel",(748.47*'DATA INPUT'!E20^2.2691)/1000,IF('DATA INPUT'!B20="V. ref",(953.69*'DATA INPUT'!E20^1.9524)/1000,IF('DATA INPUT'!B20=1,(695.02*'DATA INPUT'!E20^2.3452)/1000,IF('DATA INPUT'!B20=2,0.3662*'DATA INPUT'!E20^1.5061,FALSE)))))</f>
        <v>0</v>
      </c>
      <c r="Q16" s="3" t="b">
        <f>IF('DATA INPUT'!B20="T. ser",0.1225*('DATA INPUT'!F20*'DATA INPUT'!G20)^0.8272,IF('DATA INPUT'!B20="S. mel",(925.08*('DATA INPUT'!F20*'DATA INPUT'!G20)^1.1603)/1000,IF('DATA INPUT'!B20="V. ref",(776.29*('DATA INPUT'!F20*'DATA INPUT'!G20)^1.1226)/1000,IF('DATA INPUT'!B20=1,(884.6*('DATA INPUT'!F20*'DATA INPUT'!G20)^1.129)/1000,IF('DATA INPUT'!B20=2,0.1225*('DATA INPUT'!F20*'DATA INPUT'!G20)^0.8272,FALSE)))))</f>
        <v>0</v>
      </c>
      <c r="R16" s="3" t="b">
        <f>IF('DATA INPUT'!B20="T. ser",5.5287*('DATA INPUT'!H20*'DATA INPUT'!I20)^0.8272,IF('DATA INPUT'!B20="S. mel",(31469*('DATA INPUT'!H20*'DATA INPUT'!I20)^0.8608)/1000,IF('DATA INPUT'!B20="V. ref",(39394*('DATA INPUT'!H20*'DATA INPUT'!I20)^1.005)/1000,IF('DATA INPUT'!B20=1,(31791*('DATA INPUT'!H20*'DATA INPUT'!I20)^0.8467)/1000,IF('DATA INPUT'!B20=2,5.5287*('DATA INPUT'!H20*'DATA INPUT'!I20)^0.8272,FALSE)))))</f>
        <v>0</v>
      </c>
      <c r="S16" s="3" t="b">
        <f>IF('DATA INPUT'!B20="T. ser",0.0005*I16^0.5148,IF('DATA INPUT'!B20="S. mel",0.051*I16^0.7789/1000,IF('DATA INPUT'!B20="V. ref",0.0958*I16^0.7253/1000,IF('DATA INPUT'!B20=1,0.0426*I16^0.786/1000,IF('DATA INPUT'!B20=2,0.0005*I16^0.5148,FALSE)))))</f>
        <v>0</v>
      </c>
      <c r="T16" s="59">
        <f t="shared" si="2"/>
        <v>0</v>
      </c>
      <c r="V16" s="13"/>
      <c r="W16" s="13"/>
      <c r="X16" s="13"/>
      <c r="Y16" s="13"/>
      <c r="Z16" s="13"/>
      <c r="AB16">
        <f>'DATA INPUT'!Q20</f>
        <v>0</v>
      </c>
      <c r="AC16" s="2">
        <f>COUNTIF('DATA INPUT'!$C$7:$C$156,'DATA INPUT'!Q20)</f>
        <v>0</v>
      </c>
      <c r="AD16" s="2" t="e">
        <f>AC16*10000/RESULTS_REPORT!$C$18</f>
        <v>#DIV/0!</v>
      </c>
      <c r="AE16" s="2">
        <f t="shared" si="3"/>
        <v>0</v>
      </c>
      <c r="AF16" s="2" t="e">
        <f>AE16*10000/RESULTS_REPORT!$C$18</f>
        <v>#DIV/0!</v>
      </c>
      <c r="AG16" s="2">
        <f t="shared" si="4"/>
        <v>0</v>
      </c>
      <c r="AH16" s="2" t="e">
        <f>AG16*10000/RESULTS_REPORT!$C$18</f>
        <v>#DIV/0!</v>
      </c>
      <c r="AJ16" s="3">
        <f t="shared" si="5"/>
        <v>0</v>
      </c>
      <c r="AK16" s="2" t="e">
        <f>AJ16*10000/RESULTS_REPORT!$C$18</f>
        <v>#DIV/0!</v>
      </c>
      <c r="AL16" s="2">
        <f t="shared" si="6"/>
        <v>0</v>
      </c>
      <c r="AM16" s="3" t="e">
        <f>AL16*10000/RESULTS_REPORT!$C$18</f>
        <v>#DIV/0!</v>
      </c>
      <c r="AN16" s="3"/>
    </row>
    <row r="17" spans="1:40" x14ac:dyDescent="0.2">
      <c r="A17" s="16">
        <f>'DATA INPUT'!C21</f>
        <v>0</v>
      </c>
      <c r="B17" s="11" t="b">
        <f>IF('DATA INPUT'!B21="T. ser",0.1656*'DATA INPUT'!D21^1.4655,IF('DATA INPUT'!B21="S. mel",135.53*'DATA INPUT'!D21^3.8701/1000,IF('DATA INPUT'!B21="V. ref",143.01*'DATA INPUT'!D21^3.3147/1000,IF('DATA INPUT'!B21=1,143.35*'DATA INPUT'!D21^3.6046/1000,IF('DATA INPUT'!B21=2,0.1656*'DATA INPUT'!D21^1.4655,FALSE)))))</f>
        <v>0</v>
      </c>
      <c r="C17" s="8" t="b">
        <f>IF('DATA INPUT'!B21="T. ser",0.3356*'DATA INPUT'!E21^0.9984,IF('DATA INPUT'!B21="S. mel",24.906*'DATA INPUT'!E21^4.7681/1000,IF('DATA INPUT'!B21="V. ref",118.45*'DATA INPUT'!E21^3.5959/1000,IF('DATA INPUT'!B21=1,55.075*'DATA INPUT'!E21^4.0991/1000,IF('DATA INPUT'!B21=2,0.3356*'DATA INPUT'!E21^0.9984,FALSE)))))</f>
        <v>0</v>
      </c>
      <c r="D17" s="18" t="b">
        <f>IF('DATA INPUT'!B21="T. ser",0.0615*('DATA INPUT'!F21*'DATA INPUT'!G21)^0.9573,IF('DATA INPUT'!B21="S. mel",46.162*('DATA INPUT'!F21*'DATA INPUT'!G21)^2.3652/1000,IF('DATA INPUT'!B21="V. ref",90.34*('DATA INPUT'!F21*'DATA INPUT'!G21)^1.9756/1000,IF('DATA INPUT'!B21=1,63.022*('DATA INPUT'!F21*'DATA INPUT'!G21)^2.1551/1000,IF('DATA INPUT'!B21=2,0.0615*('DATA INPUT'!F21*'DATA INPUT'!G21)^0.9573,FALSE)))))</f>
        <v>0</v>
      </c>
      <c r="E17" s="8" t="b">
        <f>IF('DATA INPUT'!B21="T. ser",5.0562*('DATA INPUT'!H21*'DATA INPUT'!I21)^0.9574,IF('DATA INPUT'!B21="S. mel",44047*('DATA INPUT'!H21*'DATA INPUT'!I21)^1.5456/1000,IF('DATA INPUT'!B21="V. ref",91930*('DATA INPUT'!H21*'DATA INPUT'!I21)^1.7774/1000,IF('DATA INPUT'!B21=1,62601*('DATA INPUT'!H21*'DATA INPUT'!I21)^1.6463/1000,IF('DATA INPUT'!B21=2,5.0562*('DATA INPUT'!H21*'DATA INPUT'!I21)^0.9574,FALSE)))))</f>
        <v>0</v>
      </c>
      <c r="F17" s="18" t="b">
        <f>IF('DATA INPUT'!B21="T. ser",0.0009*I17^0.4477,IF('DATA INPUT'!B21="S. mel",0.0000004*I17^1.4912/1000,IF('DATA INPUT'!B21="V. ref",0.00000005*I17^1.6284/1000,IF('DATA INPUT'!B21=1,0.0000007*I17^1.4601/1000,IF('DATA INPUT'!B21=2,0.0009*I17^0.4477,FALSE)))))</f>
        <v>0</v>
      </c>
      <c r="G17" s="57">
        <f t="shared" si="0"/>
        <v>0</v>
      </c>
      <c r="H17" s="57"/>
      <c r="I17" s="2" t="b">
        <f>IF('DATA INPUT'!B21="T. ser",3.142*'DATA INPUT'!N21^2*'DATA INPUT'!O21/3+3.142*'DATA INPUT'!P21^2/3*(3*'DATA INPUT'!N21-'DATA INPUT'!P21),IF('DATA INPUT'!B21="S. mel",3.142*'DATA INPUT'!N21^2*'DATA INPUT'!O21/3+3.142*'DATA INPUT'!P21^2/3*(3*'DATA INPUT'!N21-'DATA INPUT'!P21),IF('DATA INPUT'!B21="V. ref",3.142*'DATA INPUT'!N21^2*'DATA INPUT'!O21/3+3.142*'DATA INPUT'!P21^2/3*(3*'DATA INPUT'!N21-'DATA INPUT'!P21),IF('DATA INPUT'!B21=1,3.142*'DATA INPUT'!N21^2*'DATA INPUT'!O21/3+3.142*'DATA INPUT'!P21^2/3*(3*'DATA INPUT'!N21-'DATA INPUT'!P21),IF('DATA INPUT'!B21=2,3.142*'DATA INPUT'!N21^2*'DATA INPUT'!O21/3+3.142*'DATA INPUT'!P21^2/3*(3*'DATA INPUT'!N21-'DATA INPUT'!P21),FALSE)))))</f>
        <v>0</v>
      </c>
      <c r="J17" s="2" t="b">
        <f>IF('DATA INPUT'!B21="T. ser",0.0458*CALCULATIONS!I17^0.6841,IF('DATA INPUT'!B21="S. mel",0.6047*CALCULATIONS!I17^0.6433,IF('DATA INPUT'!B21="V. ref",0.77086*CALCULATIONS!I17^0.4936,IF('DATA INPUT'!B21=1,0.68778*CALCULATIONS!I17^0.56845,IF('DATA INPUT'!B21=2,0.0458*CALCULATIONS!I17^0.6841,FALSE)))))</f>
        <v>0</v>
      </c>
      <c r="K17" s="3">
        <f t="shared" si="1"/>
        <v>0</v>
      </c>
      <c r="L17" s="3" t="b">
        <f>IF('DATA INPUT'!B21="T. ser",('DATA INPUT'!D21+'DATA INPUT'!F21+'DATA INPUT'!H21+'DATA INPUT'!J21)/1.5,IF('DATA INPUT'!B21="V. ref",('DATA INPUT'!D21+'DATA INPUT'!F21+'DATA INPUT'!H21+'DATA INPUT'!J21)/1.5,IF('DATA INPUT'!B21="S. mel",('DATA INPUT'!D21+'DATA INPUT'!F21+'DATA INPUT'!H21+'DATA INPUT'!J21)/1.5,IF('DATA INPUT'!B21=1,('DATA INPUT'!D21+'DATA INPUT'!F21+'DATA INPUT'!H21+'DATA INPUT'!J21)/1.5,IF('DATA INPUT'!B21=2,('DATA INPUT'!D21+'DATA INPUT'!F21+'DATA INPUT'!H21+'DATA INPUT'!J21)/1.5,FALSE)))))</f>
        <v>0</v>
      </c>
      <c r="N17" s="16">
        <f>'DATA INPUT'!C21</f>
        <v>0</v>
      </c>
      <c r="O17" s="3" t="b">
        <f>IF('DATA INPUT'!B21="T. ser",0.3446*'DATA INPUT'!D21^1.0619,IF('DATA INPUT'!B21="S. mel",(1270.6*'DATA INPUT'!D21^2.0933)/1000,IF('DATA INPUT'!B21="V. ref",(816.25*'DATA INPUT'!D21^2.1754)/1000,IF('DATA INPUT'!B21=1,(1492.4*'DATA INPUT'!D21^1.7591)/1000,IF('DATA INPUT'!B21=2,0.3446*'DATA INPUT'!D21^1.0619,FALSE)))))</f>
        <v>0</v>
      </c>
      <c r="P17" s="3" t="b">
        <f>IF('DATA INPUT'!B21="T. ser",0.3662*'DATA INPUT'!E21^1.5061,IF('DATA INPUT'!B21="S. mel",(748.47*'DATA INPUT'!E21^2.2691)/1000,IF('DATA INPUT'!B21="V. ref",(953.69*'DATA INPUT'!E21^1.9524)/1000,IF('DATA INPUT'!B21=1,(695.02*'DATA INPUT'!E21^2.3452)/1000,IF('DATA INPUT'!B21=2,0.3662*'DATA INPUT'!E21^1.5061,FALSE)))))</f>
        <v>0</v>
      </c>
      <c r="Q17" s="3" t="b">
        <f>IF('DATA INPUT'!B21="T. ser",0.1225*('DATA INPUT'!F21*'DATA INPUT'!G21)^0.8272,IF('DATA INPUT'!B21="S. mel",(925.08*('DATA INPUT'!F21*'DATA INPUT'!G21)^1.1603)/1000,IF('DATA INPUT'!B21="V. ref",(776.29*('DATA INPUT'!F21*'DATA INPUT'!G21)^1.1226)/1000,IF('DATA INPUT'!B21=1,(884.6*('DATA INPUT'!F21*'DATA INPUT'!G21)^1.129)/1000,IF('DATA INPUT'!B21=2,0.1225*('DATA INPUT'!F21*'DATA INPUT'!G21)^0.8272,FALSE)))))</f>
        <v>0</v>
      </c>
      <c r="R17" s="3" t="b">
        <f>IF('DATA INPUT'!B21="T. ser",5.5287*('DATA INPUT'!H21*'DATA INPUT'!I21)^0.8272,IF('DATA INPUT'!B21="S. mel",(31469*('DATA INPUT'!H21*'DATA INPUT'!I21)^0.8608)/1000,IF('DATA INPUT'!B21="V. ref",(39394*('DATA INPUT'!H21*'DATA INPUT'!I21)^1.005)/1000,IF('DATA INPUT'!B21=1,(31791*('DATA INPUT'!H21*'DATA INPUT'!I21)^0.8467)/1000,IF('DATA INPUT'!B21=2,5.5287*('DATA INPUT'!H21*'DATA INPUT'!I21)^0.8272,FALSE)))))</f>
        <v>0</v>
      </c>
      <c r="S17" s="3" t="b">
        <f>IF('DATA INPUT'!B21="T. ser",0.0005*I17^0.5148,IF('DATA INPUT'!B21="S. mel",0.051*I17^0.7789/1000,IF('DATA INPUT'!B21="V. ref",0.0958*I17^0.7253/1000,IF('DATA INPUT'!B21=1,0.0426*I17^0.786/1000,IF('DATA INPUT'!B21=2,0.0005*I17^0.5148,FALSE)))))</f>
        <v>0</v>
      </c>
      <c r="T17" s="59">
        <f t="shared" si="2"/>
        <v>0</v>
      </c>
      <c r="V17" s="13"/>
      <c r="W17" s="13"/>
      <c r="X17" s="13"/>
      <c r="Y17" s="13"/>
      <c r="Z17" s="13"/>
      <c r="AB17">
        <f>'DATA INPUT'!Q21</f>
        <v>0</v>
      </c>
      <c r="AC17" s="2">
        <f>COUNTIF('DATA INPUT'!$C$7:$C$156,'DATA INPUT'!Q21)</f>
        <v>0</v>
      </c>
      <c r="AD17" s="2" t="e">
        <f>AC17*10000/RESULTS_REPORT!$C$18</f>
        <v>#DIV/0!</v>
      </c>
      <c r="AE17" s="2">
        <f t="shared" si="3"/>
        <v>0</v>
      </c>
      <c r="AF17" s="2" t="e">
        <f>AE17*10000/RESULTS_REPORT!$C$18</f>
        <v>#DIV/0!</v>
      </c>
      <c r="AG17" s="2">
        <f t="shared" si="4"/>
        <v>0</v>
      </c>
      <c r="AH17" s="2" t="e">
        <f>AG17*10000/RESULTS_REPORT!$C$18</f>
        <v>#DIV/0!</v>
      </c>
      <c r="AJ17" s="3">
        <f t="shared" si="5"/>
        <v>0</v>
      </c>
      <c r="AK17" s="2" t="e">
        <f>AJ17*10000/RESULTS_REPORT!$C$18</f>
        <v>#DIV/0!</v>
      </c>
      <c r="AL17" s="2">
        <f t="shared" si="6"/>
        <v>0</v>
      </c>
      <c r="AM17" s="3" t="e">
        <f>AL17*10000/RESULTS_REPORT!$C$18</f>
        <v>#DIV/0!</v>
      </c>
      <c r="AN17" s="3"/>
    </row>
    <row r="18" spans="1:40" x14ac:dyDescent="0.2">
      <c r="A18" s="16">
        <f>'DATA INPUT'!C22</f>
        <v>0</v>
      </c>
      <c r="B18" s="11" t="b">
        <f>IF('DATA INPUT'!B22="T. ser",0.1656*'DATA INPUT'!D22^1.4655,IF('DATA INPUT'!B22="S. mel",135.53*'DATA INPUT'!D22^3.8701/1000,IF('DATA INPUT'!B22="V. ref",143.01*'DATA INPUT'!D22^3.3147/1000,IF('DATA INPUT'!B22=1,143.35*'DATA INPUT'!D22^3.6046/1000,IF('DATA INPUT'!B22=2,0.1656*'DATA INPUT'!D22^1.4655,FALSE)))))</f>
        <v>0</v>
      </c>
      <c r="C18" s="8" t="b">
        <f>IF('DATA INPUT'!B22="T. ser",0.3356*'DATA INPUT'!E22^0.9984,IF('DATA INPUT'!B22="S. mel",24.906*'DATA INPUT'!E22^4.7681/1000,IF('DATA INPUT'!B22="V. ref",118.45*'DATA INPUT'!E22^3.5959/1000,IF('DATA INPUT'!B22=1,55.075*'DATA INPUT'!E22^4.0991/1000,IF('DATA INPUT'!B22=2,0.3356*'DATA INPUT'!E22^0.9984,FALSE)))))</f>
        <v>0</v>
      </c>
      <c r="D18" s="18" t="b">
        <f>IF('DATA INPUT'!B22="T. ser",0.0615*('DATA INPUT'!F22*'DATA INPUT'!G22)^0.9573,IF('DATA INPUT'!B22="S. mel",46.162*('DATA INPUT'!F22*'DATA INPUT'!G22)^2.3652/1000,IF('DATA INPUT'!B22="V. ref",90.34*('DATA INPUT'!F22*'DATA INPUT'!G22)^1.9756/1000,IF('DATA INPUT'!B22=1,63.022*('DATA INPUT'!F22*'DATA INPUT'!G22)^2.1551/1000,IF('DATA INPUT'!B22=2,0.0615*('DATA INPUT'!F22*'DATA INPUT'!G22)^0.9573,FALSE)))))</f>
        <v>0</v>
      </c>
      <c r="E18" s="8" t="b">
        <f>IF('DATA INPUT'!B22="T. ser",5.0562*('DATA INPUT'!H22*'DATA INPUT'!I22)^0.9574,IF('DATA INPUT'!B22="S. mel",44047*('DATA INPUT'!H22*'DATA INPUT'!I22)^1.5456/1000,IF('DATA INPUT'!B22="V. ref",91930*('DATA INPUT'!H22*'DATA INPUT'!I22)^1.7774/1000,IF('DATA INPUT'!B22=1,62601*('DATA INPUT'!H22*'DATA INPUT'!I22)^1.6463/1000,IF('DATA INPUT'!B22=2,5.0562*('DATA INPUT'!H22*'DATA INPUT'!I22)^0.9574,FALSE)))))</f>
        <v>0</v>
      </c>
      <c r="F18" s="18" t="b">
        <f>IF('DATA INPUT'!B22="T. ser",0.0009*I18^0.4477,IF('DATA INPUT'!B22="S. mel",0.0000004*I18^1.4912/1000,IF('DATA INPUT'!B22="V. ref",0.00000005*I18^1.6284/1000,IF('DATA INPUT'!B22=1,0.0000007*I18^1.4601/1000,IF('DATA INPUT'!B22=2,0.0009*I18^0.4477,FALSE)))))</f>
        <v>0</v>
      </c>
      <c r="G18" s="57">
        <f t="shared" si="0"/>
        <v>0</v>
      </c>
      <c r="H18" s="57"/>
      <c r="I18" s="2" t="b">
        <f>IF('DATA INPUT'!B22="T. ser",3.142*'DATA INPUT'!N22^2*'DATA INPUT'!O22/3+3.142*'DATA INPUT'!P22^2/3*(3*'DATA INPUT'!N22-'DATA INPUT'!P22),IF('DATA INPUT'!B22="S. mel",3.142*'DATA INPUT'!N22^2*'DATA INPUT'!O22/3+3.142*'DATA INPUT'!P22^2/3*(3*'DATA INPUT'!N22-'DATA INPUT'!P22),IF('DATA INPUT'!B22="V. ref",3.142*'DATA INPUT'!N22^2*'DATA INPUT'!O22/3+3.142*'DATA INPUT'!P22^2/3*(3*'DATA INPUT'!N22-'DATA INPUT'!P22),IF('DATA INPUT'!B22=1,3.142*'DATA INPUT'!N22^2*'DATA INPUT'!O22/3+3.142*'DATA INPUT'!P22^2/3*(3*'DATA INPUT'!N22-'DATA INPUT'!P22),IF('DATA INPUT'!B22=2,3.142*'DATA INPUT'!N22^2*'DATA INPUT'!O22/3+3.142*'DATA INPUT'!P22^2/3*(3*'DATA INPUT'!N22-'DATA INPUT'!P22),FALSE)))))</f>
        <v>0</v>
      </c>
      <c r="J18" s="2" t="b">
        <f>IF('DATA INPUT'!B22="T. ser",0.0458*CALCULATIONS!I18^0.6841,IF('DATA INPUT'!B22="S. mel",0.6047*CALCULATIONS!I18^0.6433,IF('DATA INPUT'!B22="V. ref",0.77086*CALCULATIONS!I18^0.4936,IF('DATA INPUT'!B22=1,0.68778*CALCULATIONS!I18^0.56845,IF('DATA INPUT'!B22=2,0.0458*CALCULATIONS!I18^0.6841,FALSE)))))</f>
        <v>0</v>
      </c>
      <c r="K18" s="3">
        <f t="shared" si="1"/>
        <v>0</v>
      </c>
      <c r="L18" s="3" t="b">
        <f>IF('DATA INPUT'!B22="T. ser",('DATA INPUT'!D22+'DATA INPUT'!F22+'DATA INPUT'!H22+'DATA INPUT'!J22)/1.5,IF('DATA INPUT'!B22="V. ref",('DATA INPUT'!D22+'DATA INPUT'!F22+'DATA INPUT'!H22+'DATA INPUT'!J22)/1.5,IF('DATA INPUT'!B22="S. mel",('DATA INPUT'!D22+'DATA INPUT'!F22+'DATA INPUT'!H22+'DATA INPUT'!J22)/1.5,IF('DATA INPUT'!B22=1,('DATA INPUT'!D22+'DATA INPUT'!F22+'DATA INPUT'!H22+'DATA INPUT'!J22)/1.5,IF('DATA INPUT'!B22=2,('DATA INPUT'!D22+'DATA INPUT'!F22+'DATA INPUT'!H22+'DATA INPUT'!J22)/1.5,FALSE)))))</f>
        <v>0</v>
      </c>
      <c r="N18" s="16">
        <f>'DATA INPUT'!C22</f>
        <v>0</v>
      </c>
      <c r="O18" s="3" t="b">
        <f>IF('DATA INPUT'!B22="T. ser",0.3446*'DATA INPUT'!D22^1.0619,IF('DATA INPUT'!B22="S. mel",(1270.6*'DATA INPUT'!D22^2.0933)/1000,IF('DATA INPUT'!B22="V. ref",(816.25*'DATA INPUT'!D22^2.1754)/1000,IF('DATA INPUT'!B22=1,(1492.4*'DATA INPUT'!D22^1.7591)/1000,IF('DATA INPUT'!B22=2,0.3446*'DATA INPUT'!D22^1.0619,FALSE)))))</f>
        <v>0</v>
      </c>
      <c r="P18" s="3" t="b">
        <f>IF('DATA INPUT'!B22="T. ser",0.3662*'DATA INPUT'!E22^1.5061,IF('DATA INPUT'!B22="S. mel",(748.47*'DATA INPUT'!E22^2.2691)/1000,IF('DATA INPUT'!B22="V. ref",(953.69*'DATA INPUT'!E22^1.9524)/1000,IF('DATA INPUT'!B22=1,(695.02*'DATA INPUT'!E22^2.3452)/1000,IF('DATA INPUT'!B22=2,0.3662*'DATA INPUT'!E22^1.5061,FALSE)))))</f>
        <v>0</v>
      </c>
      <c r="Q18" s="3" t="b">
        <f>IF('DATA INPUT'!B22="T. ser",0.1225*('DATA INPUT'!F22*'DATA INPUT'!G22)^0.8272,IF('DATA INPUT'!B22="S. mel",(925.08*('DATA INPUT'!F22*'DATA INPUT'!G22)^1.1603)/1000,IF('DATA INPUT'!B22="V. ref",(776.29*('DATA INPUT'!F22*'DATA INPUT'!G22)^1.1226)/1000,IF('DATA INPUT'!B22=1,(884.6*('DATA INPUT'!F22*'DATA INPUT'!G22)^1.129)/1000,IF('DATA INPUT'!B22=2,0.1225*('DATA INPUT'!F22*'DATA INPUT'!G22)^0.8272,FALSE)))))</f>
        <v>0</v>
      </c>
      <c r="R18" s="3" t="b">
        <f>IF('DATA INPUT'!B22="T. ser",5.5287*('DATA INPUT'!H22*'DATA INPUT'!I22)^0.8272,IF('DATA INPUT'!B22="S. mel",(31469*('DATA INPUT'!H22*'DATA INPUT'!I22)^0.8608)/1000,IF('DATA INPUT'!B22="V. ref",(39394*('DATA INPUT'!H22*'DATA INPUT'!I22)^1.005)/1000,IF('DATA INPUT'!B22=1,(31791*('DATA INPUT'!H22*'DATA INPUT'!I22)^0.8467)/1000,IF('DATA INPUT'!B22=2,5.5287*('DATA INPUT'!H22*'DATA INPUT'!I22)^0.8272,FALSE)))))</f>
        <v>0</v>
      </c>
      <c r="S18" s="3" t="b">
        <f>IF('DATA INPUT'!B22="T. ser",0.0005*I18^0.5148,IF('DATA INPUT'!B22="S. mel",0.051*I18^0.7789/1000,IF('DATA INPUT'!B22="V. ref",0.0958*I18^0.7253/1000,IF('DATA INPUT'!B22=1,0.0426*I18^0.786/1000,IF('DATA INPUT'!B22=2,0.0005*I18^0.5148,FALSE)))))</f>
        <v>0</v>
      </c>
      <c r="T18" s="59">
        <f t="shared" si="2"/>
        <v>0</v>
      </c>
      <c r="AB18">
        <f>'DATA INPUT'!Q22</f>
        <v>0</v>
      </c>
      <c r="AC18" s="2">
        <f>COUNTIF('DATA INPUT'!$C$7:$C$156,'DATA INPUT'!Q22)</f>
        <v>0</v>
      </c>
      <c r="AD18" s="2" t="e">
        <f>AC18*10000/RESULTS_REPORT!$C$18</f>
        <v>#DIV/0!</v>
      </c>
      <c r="AE18" s="2">
        <f t="shared" si="3"/>
        <v>0</v>
      </c>
      <c r="AF18" s="2" t="e">
        <f>AE18*10000/RESULTS_REPORT!$C$18</f>
        <v>#DIV/0!</v>
      </c>
      <c r="AG18" s="2">
        <f t="shared" si="4"/>
        <v>0</v>
      </c>
      <c r="AH18" s="2" t="e">
        <f>AG18*10000/RESULTS_REPORT!$C$18</f>
        <v>#DIV/0!</v>
      </c>
      <c r="AJ18" s="3">
        <f t="shared" si="5"/>
        <v>0</v>
      </c>
      <c r="AK18" s="2" t="e">
        <f>AJ18*10000/RESULTS_REPORT!$C$18</f>
        <v>#DIV/0!</v>
      </c>
      <c r="AL18" s="2">
        <f t="shared" si="6"/>
        <v>0</v>
      </c>
      <c r="AM18" s="3" t="e">
        <f>AL18*10000/RESULTS_REPORT!$C$18</f>
        <v>#DIV/0!</v>
      </c>
      <c r="AN18" s="3"/>
    </row>
    <row r="19" spans="1:40" x14ac:dyDescent="0.2">
      <c r="A19" s="16">
        <f>'DATA INPUT'!C23</f>
        <v>0</v>
      </c>
      <c r="B19" s="11" t="b">
        <f>IF('DATA INPUT'!B23="T. ser",0.1656*'DATA INPUT'!D23^1.4655,IF('DATA INPUT'!B23="S. mel",135.53*'DATA INPUT'!D23^3.8701/1000,IF('DATA INPUT'!B23="V. ref",143.01*'DATA INPUT'!D23^3.3147/1000,IF('DATA INPUT'!B23=1,143.35*'DATA INPUT'!D23^3.6046/1000,IF('DATA INPUT'!B23=2,0.1656*'DATA INPUT'!D23^1.4655,FALSE)))))</f>
        <v>0</v>
      </c>
      <c r="C19" s="8" t="b">
        <f>IF('DATA INPUT'!B23="T. ser",0.3356*'DATA INPUT'!E23^0.9984,IF('DATA INPUT'!B23="S. mel",24.906*'DATA INPUT'!E23^4.7681/1000,IF('DATA INPUT'!B23="V. ref",118.45*'DATA INPUT'!E23^3.5959/1000,IF('DATA INPUT'!B23=1,55.075*'DATA INPUT'!E23^4.0991/1000,IF('DATA INPUT'!B23=2,0.3356*'DATA INPUT'!E23^0.9984,FALSE)))))</f>
        <v>0</v>
      </c>
      <c r="D19" s="18" t="b">
        <f>IF('DATA INPUT'!B23="T. ser",0.0615*('DATA INPUT'!F23*'DATA INPUT'!G23)^0.9573,IF('DATA INPUT'!B23="S. mel",46.162*('DATA INPUT'!F23*'DATA INPUT'!G23)^2.3652/1000,IF('DATA INPUT'!B23="V. ref",90.34*('DATA INPUT'!F23*'DATA INPUT'!G23)^1.9756/1000,IF('DATA INPUT'!B23=1,63.022*('DATA INPUT'!F23*'DATA INPUT'!G23)^2.1551/1000,IF('DATA INPUT'!B23=2,0.0615*('DATA INPUT'!F23*'DATA INPUT'!G23)^0.9573,FALSE)))))</f>
        <v>0</v>
      </c>
      <c r="E19" s="8" t="b">
        <f>IF('DATA INPUT'!B23="T. ser",5.0562*('DATA INPUT'!H23*'DATA INPUT'!I23)^0.9574,IF('DATA INPUT'!B23="S. mel",44047*('DATA INPUT'!H23*'DATA INPUT'!I23)^1.5456/1000,IF('DATA INPUT'!B23="V. ref",91930*('DATA INPUT'!H23*'DATA INPUT'!I23)^1.7774/1000,IF('DATA INPUT'!B23=1,62601*('DATA INPUT'!H23*'DATA INPUT'!I23)^1.6463/1000,IF('DATA INPUT'!B23=2,5.0562*('DATA INPUT'!H23*'DATA INPUT'!I23)^0.9574,FALSE)))))</f>
        <v>0</v>
      </c>
      <c r="F19" s="18" t="b">
        <f>IF('DATA INPUT'!B23="T. ser",0.0009*I19^0.4477,IF('DATA INPUT'!B23="S. mel",0.0000004*I19^1.4912/1000,IF('DATA INPUT'!B23="V. ref",0.00000005*I19^1.6284/1000,IF('DATA INPUT'!B23=1,0.0000007*I19^1.4601/1000,IF('DATA INPUT'!B23=2,0.0009*I19^0.4477,FALSE)))))</f>
        <v>0</v>
      </c>
      <c r="G19" s="57">
        <f t="shared" si="0"/>
        <v>0</v>
      </c>
      <c r="H19" s="57"/>
      <c r="I19" s="2" t="b">
        <f>IF('DATA INPUT'!B23="T. ser",3.142*'DATA INPUT'!N23^2*'DATA INPUT'!O23/3+3.142*'DATA INPUT'!P23^2/3*(3*'DATA INPUT'!N23-'DATA INPUT'!P23),IF('DATA INPUT'!B23="S. mel",3.142*'DATA INPUT'!N23^2*'DATA INPUT'!O23/3+3.142*'DATA INPUT'!P23^2/3*(3*'DATA INPUT'!N23-'DATA INPUT'!P23),IF('DATA INPUT'!B23="V. ref",3.142*'DATA INPUT'!N23^2*'DATA INPUT'!O23/3+3.142*'DATA INPUT'!P23^2/3*(3*'DATA INPUT'!N23-'DATA INPUT'!P23),IF('DATA INPUT'!B23=1,3.142*'DATA INPUT'!N23^2*'DATA INPUT'!O23/3+3.142*'DATA INPUT'!P23^2/3*(3*'DATA INPUT'!N23-'DATA INPUT'!P23),IF('DATA INPUT'!B23=2,3.142*'DATA INPUT'!N23^2*'DATA INPUT'!O23/3+3.142*'DATA INPUT'!P23^2/3*(3*'DATA INPUT'!N23-'DATA INPUT'!P23),FALSE)))))</f>
        <v>0</v>
      </c>
      <c r="J19" s="2" t="b">
        <f>IF('DATA INPUT'!B23="T. ser",0.0458*CALCULATIONS!I19^0.6841,IF('DATA INPUT'!B23="S. mel",0.6047*CALCULATIONS!I19^0.6433,IF('DATA INPUT'!B23="V. ref",0.77086*CALCULATIONS!I19^0.4936,IF('DATA INPUT'!B23=1,0.68778*CALCULATIONS!I19^0.56845,IF('DATA INPUT'!B23=2,0.0458*CALCULATIONS!I19^0.6841,FALSE)))))</f>
        <v>0</v>
      </c>
      <c r="K19" s="3">
        <f t="shared" si="1"/>
        <v>0</v>
      </c>
      <c r="L19" s="3" t="b">
        <f>IF('DATA INPUT'!B23="T. ser",('DATA INPUT'!D23+'DATA INPUT'!F23+'DATA INPUT'!H23+'DATA INPUT'!J23)/1.5,IF('DATA INPUT'!B23="V. ref",('DATA INPUT'!D23+'DATA INPUT'!F23+'DATA INPUT'!H23+'DATA INPUT'!J23)/1.5,IF('DATA INPUT'!B23="S. mel",('DATA INPUT'!D23+'DATA INPUT'!F23+'DATA INPUT'!H23+'DATA INPUT'!J23)/1.5,IF('DATA INPUT'!B23=1,('DATA INPUT'!D23+'DATA INPUT'!F23+'DATA INPUT'!H23+'DATA INPUT'!J23)/1.5,IF('DATA INPUT'!B23=2,('DATA INPUT'!D23+'DATA INPUT'!F23+'DATA INPUT'!H23+'DATA INPUT'!J23)/1.5,FALSE)))))</f>
        <v>0</v>
      </c>
      <c r="N19" s="16">
        <f>'DATA INPUT'!C23</f>
        <v>0</v>
      </c>
      <c r="O19" s="3" t="b">
        <f>IF('DATA INPUT'!B23="T. ser",0.3446*'DATA INPUT'!D23^1.0619,IF('DATA INPUT'!B23="S. mel",(1270.6*'DATA INPUT'!D23^2.0933)/1000,IF('DATA INPUT'!B23="V. ref",(816.25*'DATA INPUT'!D23^2.1754)/1000,IF('DATA INPUT'!B23=1,(1492.4*'DATA INPUT'!D23^1.7591)/1000,IF('DATA INPUT'!B23=2,0.3446*'DATA INPUT'!D23^1.0619,FALSE)))))</f>
        <v>0</v>
      </c>
      <c r="P19" s="3" t="b">
        <f>IF('DATA INPUT'!B23="T. ser",0.3662*'DATA INPUT'!E23^1.5061,IF('DATA INPUT'!B23="S. mel",(748.47*'DATA INPUT'!E23^2.2691)/1000,IF('DATA INPUT'!B23="V. ref",(953.69*'DATA INPUT'!E23^1.9524)/1000,IF('DATA INPUT'!B23=1,(695.02*'DATA INPUT'!E23^2.3452)/1000,IF('DATA INPUT'!B23=2,0.3662*'DATA INPUT'!E23^1.5061,FALSE)))))</f>
        <v>0</v>
      </c>
      <c r="Q19" s="3" t="b">
        <f>IF('DATA INPUT'!B23="T. ser",0.1225*('DATA INPUT'!F23*'DATA INPUT'!G23)^0.8272,IF('DATA INPUT'!B23="S. mel",(925.08*('DATA INPUT'!F23*'DATA INPUT'!G23)^1.1603)/1000,IF('DATA INPUT'!B23="V. ref",(776.29*('DATA INPUT'!F23*'DATA INPUT'!G23)^1.1226)/1000,IF('DATA INPUT'!B23=1,(884.6*('DATA INPUT'!F23*'DATA INPUT'!G23)^1.129)/1000,IF('DATA INPUT'!B23=2,0.1225*('DATA INPUT'!F23*'DATA INPUT'!G23)^0.8272,FALSE)))))</f>
        <v>0</v>
      </c>
      <c r="R19" s="3" t="b">
        <f>IF('DATA INPUT'!B23="T. ser",5.5287*('DATA INPUT'!H23*'DATA INPUT'!I23)^0.8272,IF('DATA INPUT'!B23="S. mel",(31469*('DATA INPUT'!H23*'DATA INPUT'!I23)^0.8608)/1000,IF('DATA INPUT'!B23="V. ref",(39394*('DATA INPUT'!H23*'DATA INPUT'!I23)^1.005)/1000,IF('DATA INPUT'!B23=1,(31791*('DATA INPUT'!H23*'DATA INPUT'!I23)^0.8467)/1000,IF('DATA INPUT'!B23=2,5.5287*('DATA INPUT'!H23*'DATA INPUT'!I23)^0.8272,FALSE)))))</f>
        <v>0</v>
      </c>
      <c r="S19" s="3" t="b">
        <f>IF('DATA INPUT'!B23="T. ser",0.0005*I19^0.5148,IF('DATA INPUT'!B23="S. mel",0.051*I19^0.7789/1000,IF('DATA INPUT'!B23="V. ref",0.0958*I19^0.7253/1000,IF('DATA INPUT'!B23=1,0.0426*I19^0.786/1000,IF('DATA INPUT'!B23=2,0.0005*I19^0.5148,FALSE)))))</f>
        <v>0</v>
      </c>
      <c r="T19" s="59">
        <f t="shared" si="2"/>
        <v>0</v>
      </c>
      <c r="AB19" s="1">
        <f>'DATA INPUT'!Q23</f>
        <v>0</v>
      </c>
      <c r="AC19" s="2">
        <f>COUNTIF('DATA INPUT'!$C$7:$C$156,'DATA INPUT'!Q23)</f>
        <v>0</v>
      </c>
      <c r="AD19" s="2" t="e">
        <f>AC19*10000/RESULTS_REPORT!$C$18</f>
        <v>#DIV/0!</v>
      </c>
      <c r="AE19" s="2">
        <f t="shared" si="3"/>
        <v>0</v>
      </c>
      <c r="AF19" s="2" t="e">
        <f>AE19*10000/RESULTS_REPORT!$C$18</f>
        <v>#DIV/0!</v>
      </c>
      <c r="AG19" s="2">
        <f t="shared" si="4"/>
        <v>0</v>
      </c>
      <c r="AH19" s="2" t="e">
        <f>AG19*10000/RESULTS_REPORT!$C$18</f>
        <v>#DIV/0!</v>
      </c>
      <c r="AJ19" s="3">
        <f t="shared" si="5"/>
        <v>0</v>
      </c>
      <c r="AK19" s="2" t="e">
        <f>AJ19*10000/RESULTS_REPORT!$C$18</f>
        <v>#DIV/0!</v>
      </c>
      <c r="AL19" s="2">
        <f t="shared" si="6"/>
        <v>0</v>
      </c>
      <c r="AM19" s="3" t="e">
        <f>AL19*10000/RESULTS_REPORT!$C$18</f>
        <v>#DIV/0!</v>
      </c>
      <c r="AN19" s="3"/>
    </row>
    <row r="20" spans="1:40" x14ac:dyDescent="0.2">
      <c r="A20" s="16">
        <f>'DATA INPUT'!C24</f>
        <v>0</v>
      </c>
      <c r="B20" s="11" t="b">
        <f>IF('DATA INPUT'!B24="T. ser",0.1656*'DATA INPUT'!D24^1.4655,IF('DATA INPUT'!B24="S. mel",135.53*'DATA INPUT'!D24^3.8701/1000,IF('DATA INPUT'!B24="V. ref",143.01*'DATA INPUT'!D24^3.3147/1000,IF('DATA INPUT'!B24=1,143.35*'DATA INPUT'!D24^3.6046/1000,IF('DATA INPUT'!B24=2,0.1656*'DATA INPUT'!D24^1.4655,FALSE)))))</f>
        <v>0</v>
      </c>
      <c r="C20" s="8" t="b">
        <f>IF('DATA INPUT'!B24="T. ser",0.3356*'DATA INPUT'!E24^0.9984,IF('DATA INPUT'!B24="S. mel",24.906*'DATA INPUT'!E24^4.7681/1000,IF('DATA INPUT'!B24="V. ref",118.45*'DATA INPUT'!E24^3.5959/1000,IF('DATA INPUT'!B24=1,55.075*'DATA INPUT'!E24^4.0991/1000,IF('DATA INPUT'!B24=2,0.3356*'DATA INPUT'!E24^0.9984,FALSE)))))</f>
        <v>0</v>
      </c>
      <c r="D20" s="18" t="b">
        <f>IF('DATA INPUT'!B24="T. ser",0.0615*('DATA INPUT'!F24*'DATA INPUT'!G24)^0.9573,IF('DATA INPUT'!B24="S. mel",46.162*('DATA INPUT'!F24*'DATA INPUT'!G24)^2.3652/1000,IF('DATA INPUT'!B24="V. ref",90.34*('DATA INPUT'!F24*'DATA INPUT'!G24)^1.9756/1000,IF('DATA INPUT'!B24=1,63.022*('DATA INPUT'!F24*'DATA INPUT'!G24)^2.1551/1000,IF('DATA INPUT'!B24=2,0.0615*('DATA INPUT'!F24*'DATA INPUT'!G24)^0.9573,FALSE)))))</f>
        <v>0</v>
      </c>
      <c r="E20" s="8" t="b">
        <f>IF('DATA INPUT'!B24="T. ser",5.0562*('DATA INPUT'!H24*'DATA INPUT'!I24)^0.9574,IF('DATA INPUT'!B24="S. mel",44047*('DATA INPUT'!H24*'DATA INPUT'!I24)^1.5456/1000,IF('DATA INPUT'!B24="V. ref",91930*('DATA INPUT'!H24*'DATA INPUT'!I24)^1.7774/1000,IF('DATA INPUT'!B24=1,62601*('DATA INPUT'!H24*'DATA INPUT'!I24)^1.6463/1000,IF('DATA INPUT'!B24=2,5.0562*('DATA INPUT'!H24*'DATA INPUT'!I24)^0.9574,FALSE)))))</f>
        <v>0</v>
      </c>
      <c r="F20" s="18" t="b">
        <f>IF('DATA INPUT'!B24="T. ser",0.0009*I20^0.4477,IF('DATA INPUT'!B24="S. mel",0.0000004*I20^1.4912/1000,IF('DATA INPUT'!B24="V. ref",0.00000005*I20^1.6284/1000,IF('DATA INPUT'!B24=1,0.0000007*I20^1.4601/1000,IF('DATA INPUT'!B24=2,0.0009*I20^0.4477,FALSE)))))</f>
        <v>0</v>
      </c>
      <c r="G20" s="57">
        <f t="shared" si="0"/>
        <v>0</v>
      </c>
      <c r="H20" s="57"/>
      <c r="I20" s="2" t="b">
        <f>IF('DATA INPUT'!B24="T. ser",3.142*'DATA INPUT'!N24^2*'DATA INPUT'!O24/3+3.142*'DATA INPUT'!P24^2/3*(3*'DATA INPUT'!N24-'DATA INPUT'!P24),IF('DATA INPUT'!B24="S. mel",3.142*'DATA INPUT'!N24^2*'DATA INPUT'!O24/3+3.142*'DATA INPUT'!P24^2/3*(3*'DATA INPUT'!N24-'DATA INPUT'!P24),IF('DATA INPUT'!B24="V. ref",3.142*'DATA INPUT'!N24^2*'DATA INPUT'!O24/3+3.142*'DATA INPUT'!P24^2/3*(3*'DATA INPUT'!N24-'DATA INPUT'!P24),IF('DATA INPUT'!B24=1,3.142*'DATA INPUT'!N24^2*'DATA INPUT'!O24/3+3.142*'DATA INPUT'!P24^2/3*(3*'DATA INPUT'!N24-'DATA INPUT'!P24),IF('DATA INPUT'!B24=2,3.142*'DATA INPUT'!N24^2*'DATA INPUT'!O24/3+3.142*'DATA INPUT'!P24^2/3*(3*'DATA INPUT'!N24-'DATA INPUT'!P24),FALSE)))))</f>
        <v>0</v>
      </c>
      <c r="J20" s="2" t="b">
        <f>IF('DATA INPUT'!B24="T. ser",0.0458*CALCULATIONS!I20^0.6841,IF('DATA INPUT'!B24="S. mel",0.6047*CALCULATIONS!I20^0.6433,IF('DATA INPUT'!B24="V. ref",0.77086*CALCULATIONS!I20^0.4936,IF('DATA INPUT'!B24=1,0.68778*CALCULATIONS!I20^0.56845,IF('DATA INPUT'!B24=2,0.0458*CALCULATIONS!I20^0.6841,FALSE)))))</f>
        <v>0</v>
      </c>
      <c r="K20" s="3">
        <f t="shared" si="1"/>
        <v>0</v>
      </c>
      <c r="L20" s="3" t="b">
        <f>IF('DATA INPUT'!B24="T. ser",('DATA INPUT'!D24+'DATA INPUT'!F24+'DATA INPUT'!H24+'DATA INPUT'!J24)/1.5,IF('DATA INPUT'!B24="V. ref",('DATA INPUT'!D24+'DATA INPUT'!F24+'DATA INPUT'!H24+'DATA INPUT'!J24)/1.5,IF('DATA INPUT'!B24="S. mel",('DATA INPUT'!D24+'DATA INPUT'!F24+'DATA INPUT'!H24+'DATA INPUT'!J24)/1.5,IF('DATA INPUT'!B24=1,('DATA INPUT'!D24+'DATA INPUT'!F24+'DATA INPUT'!H24+'DATA INPUT'!J24)/1.5,IF('DATA INPUT'!B24=2,('DATA INPUT'!D24+'DATA INPUT'!F24+'DATA INPUT'!H24+'DATA INPUT'!J24)/1.5,FALSE)))))</f>
        <v>0</v>
      </c>
      <c r="N20" s="16">
        <f>'DATA INPUT'!C24</f>
        <v>0</v>
      </c>
      <c r="O20" s="3" t="b">
        <f>IF('DATA INPUT'!B24="T. ser",0.3446*'DATA INPUT'!D24^1.0619,IF('DATA INPUT'!B24="S. mel",(1270.6*'DATA INPUT'!D24^2.0933)/1000,IF('DATA INPUT'!B24="V. ref",(816.25*'DATA INPUT'!D24^2.1754)/1000,IF('DATA INPUT'!B24=1,(1492.4*'DATA INPUT'!D24^1.7591)/1000,IF('DATA INPUT'!B24=2,0.3446*'DATA INPUT'!D24^1.0619,FALSE)))))</f>
        <v>0</v>
      </c>
      <c r="P20" s="3" t="b">
        <f>IF('DATA INPUT'!B24="T. ser",0.3662*'DATA INPUT'!E24^1.5061,IF('DATA INPUT'!B24="S. mel",(748.47*'DATA INPUT'!E24^2.2691)/1000,IF('DATA INPUT'!B24="V. ref",(953.69*'DATA INPUT'!E24^1.9524)/1000,IF('DATA INPUT'!B24=1,(695.02*'DATA INPUT'!E24^2.3452)/1000,IF('DATA INPUT'!B24=2,0.3662*'DATA INPUT'!E24^1.5061,FALSE)))))</f>
        <v>0</v>
      </c>
      <c r="Q20" s="3" t="b">
        <f>IF('DATA INPUT'!B24="T. ser",0.1225*('DATA INPUT'!F24*'DATA INPUT'!G24)^0.8272,IF('DATA INPUT'!B24="S. mel",(925.08*('DATA INPUT'!F24*'DATA INPUT'!G24)^1.1603)/1000,IF('DATA INPUT'!B24="V. ref",(776.29*('DATA INPUT'!F24*'DATA INPUT'!G24)^1.1226)/1000,IF('DATA INPUT'!B24=1,(884.6*('DATA INPUT'!F24*'DATA INPUT'!G24)^1.129)/1000,IF('DATA INPUT'!B24=2,0.1225*('DATA INPUT'!F24*'DATA INPUT'!G24)^0.8272,FALSE)))))</f>
        <v>0</v>
      </c>
      <c r="R20" s="3" t="b">
        <f>IF('DATA INPUT'!B24="T. ser",5.5287*('DATA INPUT'!H24*'DATA INPUT'!I24)^0.8272,IF('DATA INPUT'!B24="S. mel",(31469*('DATA INPUT'!H24*'DATA INPUT'!I24)^0.8608)/1000,IF('DATA INPUT'!B24="V. ref",(39394*('DATA INPUT'!H24*'DATA INPUT'!I24)^1.005)/1000,IF('DATA INPUT'!B24=1,(31791*('DATA INPUT'!H24*'DATA INPUT'!I24)^0.8467)/1000,IF('DATA INPUT'!B24=2,5.5287*('DATA INPUT'!H24*'DATA INPUT'!I24)^0.8272,FALSE)))))</f>
        <v>0</v>
      </c>
      <c r="S20" s="3" t="b">
        <f>IF('DATA INPUT'!B24="T. ser",0.0005*I20^0.5148,IF('DATA INPUT'!B24="S. mel",0.051*I20^0.7789/1000,IF('DATA INPUT'!B24="V. ref",0.0958*I20^0.7253/1000,IF('DATA INPUT'!B24=1,0.0426*I20^0.786/1000,IF('DATA INPUT'!B24=2,0.0005*I20^0.5148,FALSE)))))</f>
        <v>0</v>
      </c>
      <c r="T20" s="59">
        <f t="shared" si="2"/>
        <v>0</v>
      </c>
      <c r="AB20">
        <f>'DATA INPUT'!Q24</f>
        <v>0</v>
      </c>
      <c r="AC20" s="2">
        <f>COUNTIF('DATA INPUT'!$C$7:$C$156,'DATA INPUT'!Q24)</f>
        <v>0</v>
      </c>
      <c r="AD20" s="2" t="e">
        <f>AC20*10000/RESULTS_REPORT!$C$18</f>
        <v>#DIV/0!</v>
      </c>
      <c r="AE20" s="2">
        <f t="shared" si="3"/>
        <v>0</v>
      </c>
      <c r="AF20" s="2" t="e">
        <f>AE20*10000/RESULTS_REPORT!$C$18</f>
        <v>#DIV/0!</v>
      </c>
      <c r="AG20" s="2">
        <f t="shared" si="4"/>
        <v>0</v>
      </c>
      <c r="AH20" s="2" t="e">
        <f>AG20*10000/RESULTS_REPORT!$C$18</f>
        <v>#DIV/0!</v>
      </c>
      <c r="AJ20" s="3">
        <f t="shared" si="5"/>
        <v>0</v>
      </c>
      <c r="AK20" s="2" t="e">
        <f>AJ20*10000/RESULTS_REPORT!$C$18</f>
        <v>#DIV/0!</v>
      </c>
      <c r="AL20" s="2">
        <f t="shared" si="6"/>
        <v>0</v>
      </c>
      <c r="AM20" s="3" t="e">
        <f>AL20*10000/RESULTS_REPORT!$C$18</f>
        <v>#DIV/0!</v>
      </c>
      <c r="AN20" s="3"/>
    </row>
    <row r="21" spans="1:40" x14ac:dyDescent="0.2">
      <c r="A21" s="16">
        <f>'DATA INPUT'!C25</f>
        <v>0</v>
      </c>
      <c r="B21" s="11" t="b">
        <f>IF('DATA INPUT'!B25="T. ser",0.1656*'DATA INPUT'!D25^1.4655,IF('DATA INPUT'!B25="S. mel",135.53*'DATA INPUT'!D25^3.8701/1000,IF('DATA INPUT'!B25="V. ref",143.01*'DATA INPUT'!D25^3.3147/1000,IF('DATA INPUT'!B25=1,143.35*'DATA INPUT'!D25^3.6046/1000,IF('DATA INPUT'!B25=2,0.1656*'DATA INPUT'!D25^1.4655,FALSE)))))</f>
        <v>0</v>
      </c>
      <c r="C21" s="8" t="b">
        <f>IF('DATA INPUT'!B25="T. ser",0.3356*'DATA INPUT'!E25^0.9984,IF('DATA INPUT'!B25="S. mel",24.906*'DATA INPUT'!E25^4.7681/1000,IF('DATA INPUT'!B25="V. ref",118.45*'DATA INPUT'!E25^3.5959/1000,IF('DATA INPUT'!B25=1,55.075*'DATA INPUT'!E25^4.0991/1000,IF('DATA INPUT'!B25=2,0.3356*'DATA INPUT'!E25^0.9984,FALSE)))))</f>
        <v>0</v>
      </c>
      <c r="D21" s="18" t="b">
        <f>IF('DATA INPUT'!B25="T. ser",0.0615*('DATA INPUT'!F25*'DATA INPUT'!G25)^0.9573,IF('DATA INPUT'!B25="S. mel",46.162*('DATA INPUT'!F25*'DATA INPUT'!G25)^2.3652/1000,IF('DATA INPUT'!B25="V. ref",90.34*('DATA INPUT'!F25*'DATA INPUT'!G25)^1.9756/1000,IF('DATA INPUT'!B25=1,63.022*('DATA INPUT'!F25*'DATA INPUT'!G25)^2.1551/1000,IF('DATA INPUT'!B25=2,0.0615*('DATA INPUT'!F25*'DATA INPUT'!G25)^0.9573,FALSE)))))</f>
        <v>0</v>
      </c>
      <c r="E21" s="8" t="b">
        <f>IF('DATA INPUT'!B25="T. ser",5.0562*('DATA INPUT'!H25*'DATA INPUT'!I25)^0.9574,IF('DATA INPUT'!B25="S. mel",44047*('DATA INPUT'!H25*'DATA INPUT'!I25)^1.5456/1000,IF('DATA INPUT'!B25="V. ref",91930*('DATA INPUT'!H25*'DATA INPUT'!I25)^1.7774/1000,IF('DATA INPUT'!B25=1,62601*('DATA INPUT'!H25*'DATA INPUT'!I25)^1.6463/1000,IF('DATA INPUT'!B25=2,5.0562*('DATA INPUT'!H25*'DATA INPUT'!I25)^0.9574,FALSE)))))</f>
        <v>0</v>
      </c>
      <c r="F21" s="18" t="b">
        <f>IF('DATA INPUT'!B25="T. ser",0.0009*I21^0.4477,IF('DATA INPUT'!B25="S. mel",0.0000004*I21^1.4912/1000,IF('DATA INPUT'!B25="V. ref",0.00000005*I21^1.6284/1000,IF('DATA INPUT'!B25=1,0.0000007*I21^1.4601/1000,IF('DATA INPUT'!B25=2,0.0009*I21^0.4477,FALSE)))))</f>
        <v>0</v>
      </c>
      <c r="G21" s="57">
        <f t="shared" si="0"/>
        <v>0</v>
      </c>
      <c r="H21" s="57"/>
      <c r="I21" s="2" t="b">
        <f>IF('DATA INPUT'!B25="T. ser",3.142*'DATA INPUT'!N25^2*'DATA INPUT'!O25/3+3.142*'DATA INPUT'!P25^2/3*(3*'DATA INPUT'!N25-'DATA INPUT'!P25),IF('DATA INPUT'!B25="S. mel",3.142*'DATA INPUT'!N25^2*'DATA INPUT'!O25/3+3.142*'DATA INPUT'!P25^2/3*(3*'DATA INPUT'!N25-'DATA INPUT'!P25),IF('DATA INPUT'!B25="V. ref",3.142*'DATA INPUT'!N25^2*'DATA INPUT'!O25/3+3.142*'DATA INPUT'!P25^2/3*(3*'DATA INPUT'!N25-'DATA INPUT'!P25),IF('DATA INPUT'!B25=1,3.142*'DATA INPUT'!N25^2*'DATA INPUT'!O25/3+3.142*'DATA INPUT'!P25^2/3*(3*'DATA INPUT'!N25-'DATA INPUT'!P25),IF('DATA INPUT'!B25=2,3.142*'DATA INPUT'!N25^2*'DATA INPUT'!O25/3+3.142*'DATA INPUT'!P25^2/3*(3*'DATA INPUT'!N25-'DATA INPUT'!P25),FALSE)))))</f>
        <v>0</v>
      </c>
      <c r="J21" s="2" t="b">
        <f>IF('DATA INPUT'!B25="T. ser",0.0458*CALCULATIONS!I21^0.6841,IF('DATA INPUT'!B25="S. mel",0.6047*CALCULATIONS!I21^0.6433,IF('DATA INPUT'!B25="V. ref",0.77086*CALCULATIONS!I21^0.4936,IF('DATA INPUT'!B25=1,0.68778*CALCULATIONS!I21^0.56845,IF('DATA INPUT'!B25=2,0.0458*CALCULATIONS!I21^0.6841,FALSE)))))</f>
        <v>0</v>
      </c>
      <c r="K21" s="3">
        <f t="shared" si="1"/>
        <v>0</v>
      </c>
      <c r="L21" s="3" t="b">
        <f>IF('DATA INPUT'!B25="T. ser",('DATA INPUT'!D25+'DATA INPUT'!F25+'DATA INPUT'!H25+'DATA INPUT'!J25)/1.5,IF('DATA INPUT'!B25="V. ref",('DATA INPUT'!D25+'DATA INPUT'!F25+'DATA INPUT'!H25+'DATA INPUT'!J25)/1.5,IF('DATA INPUT'!B25="S. mel",('DATA INPUT'!D25+'DATA INPUT'!F25+'DATA INPUT'!H25+'DATA INPUT'!J25)/1.5,IF('DATA INPUT'!B25=1,('DATA INPUT'!D25+'DATA INPUT'!F25+'DATA INPUT'!H25+'DATA INPUT'!J25)/1.5,IF('DATA INPUT'!B25=2,('DATA INPUT'!D25+'DATA INPUT'!F25+'DATA INPUT'!H25+'DATA INPUT'!J25)/1.5,FALSE)))))</f>
        <v>0</v>
      </c>
      <c r="N21" s="16">
        <f>'DATA INPUT'!C25</f>
        <v>0</v>
      </c>
      <c r="O21" s="3" t="b">
        <f>IF('DATA INPUT'!B25="T. ser",0.3446*'DATA INPUT'!D25^1.0619,IF('DATA INPUT'!B25="S. mel",(1270.6*'DATA INPUT'!D25^2.0933)/1000,IF('DATA INPUT'!B25="V. ref",(816.25*'DATA INPUT'!D25^2.1754)/1000,IF('DATA INPUT'!B25=1,(1492.4*'DATA INPUT'!D25^1.7591)/1000,IF('DATA INPUT'!B25=2,0.3446*'DATA INPUT'!D25^1.0619,FALSE)))))</f>
        <v>0</v>
      </c>
      <c r="P21" s="3" t="b">
        <f>IF('DATA INPUT'!B25="T. ser",0.3662*'DATA INPUT'!E25^1.5061,IF('DATA INPUT'!B25="S. mel",(748.47*'DATA INPUT'!E25^2.2691)/1000,IF('DATA INPUT'!B25="V. ref",(953.69*'DATA INPUT'!E25^1.9524)/1000,IF('DATA INPUT'!B25=1,(695.02*'DATA INPUT'!E25^2.3452)/1000,IF('DATA INPUT'!B25=2,0.3662*'DATA INPUT'!E25^1.5061,FALSE)))))</f>
        <v>0</v>
      </c>
      <c r="Q21" s="3" t="b">
        <f>IF('DATA INPUT'!B25="T. ser",0.1225*('DATA INPUT'!F25*'DATA INPUT'!G25)^0.8272,IF('DATA INPUT'!B25="S. mel",(925.08*('DATA INPUT'!F25*'DATA INPUT'!G25)^1.1603)/1000,IF('DATA INPUT'!B25="V. ref",(776.29*('DATA INPUT'!F25*'DATA INPUT'!G25)^1.1226)/1000,IF('DATA INPUT'!B25=1,(884.6*('DATA INPUT'!F25*'DATA INPUT'!G25)^1.129)/1000,IF('DATA INPUT'!B25=2,0.1225*('DATA INPUT'!F25*'DATA INPUT'!G25)^0.8272,FALSE)))))</f>
        <v>0</v>
      </c>
      <c r="R21" s="3" t="b">
        <f>IF('DATA INPUT'!B25="T. ser",5.5287*('DATA INPUT'!H25*'DATA INPUT'!I25)^0.8272,IF('DATA INPUT'!B25="S. mel",(31469*('DATA INPUT'!H25*'DATA INPUT'!I25)^0.8608)/1000,IF('DATA INPUT'!B25="V. ref",(39394*('DATA INPUT'!H25*'DATA INPUT'!I25)^1.005)/1000,IF('DATA INPUT'!B25=1,(31791*('DATA INPUT'!H25*'DATA INPUT'!I25)^0.8467)/1000,IF('DATA INPUT'!B25=2,5.5287*('DATA INPUT'!H25*'DATA INPUT'!I25)^0.8272,FALSE)))))</f>
        <v>0</v>
      </c>
      <c r="S21" s="3" t="b">
        <f>IF('DATA INPUT'!B25="T. ser",0.0005*I21^0.5148,IF('DATA INPUT'!B25="S. mel",0.051*I21^0.7789/1000,IF('DATA INPUT'!B25="V. ref",0.0958*I21^0.7253/1000,IF('DATA INPUT'!B25=1,0.0426*I21^0.786/1000,IF('DATA INPUT'!B25=2,0.0005*I21^0.5148,FALSE)))))</f>
        <v>0</v>
      </c>
      <c r="T21" s="59">
        <f t="shared" si="2"/>
        <v>0</v>
      </c>
      <c r="AB21" s="1">
        <f>'DATA INPUT'!Q25</f>
        <v>0</v>
      </c>
      <c r="AC21" s="2">
        <f>COUNTIF('DATA INPUT'!$C$7:$C$156,'DATA INPUT'!Q25)</f>
        <v>0</v>
      </c>
      <c r="AD21" s="2" t="e">
        <f>AC21*10000/RESULTS_REPORT!$C$18</f>
        <v>#DIV/0!</v>
      </c>
      <c r="AE21" s="2">
        <f t="shared" si="3"/>
        <v>0</v>
      </c>
      <c r="AF21" s="2" t="e">
        <f>AE21*10000/RESULTS_REPORT!$C$18</f>
        <v>#DIV/0!</v>
      </c>
      <c r="AG21" s="2">
        <f t="shared" si="4"/>
        <v>0</v>
      </c>
      <c r="AH21" s="2" t="e">
        <f>AG21*10000/RESULTS_REPORT!$C$18</f>
        <v>#DIV/0!</v>
      </c>
      <c r="AJ21" s="3">
        <f t="shared" si="5"/>
        <v>0</v>
      </c>
      <c r="AK21" s="2" t="e">
        <f>AJ21*10000/RESULTS_REPORT!$C$18</f>
        <v>#DIV/0!</v>
      </c>
      <c r="AL21" s="2">
        <f t="shared" si="6"/>
        <v>0</v>
      </c>
      <c r="AM21" s="3" t="e">
        <f>AL21*10000/RESULTS_REPORT!$C$18</f>
        <v>#DIV/0!</v>
      </c>
      <c r="AN21" s="3"/>
    </row>
    <row r="22" spans="1:40" x14ac:dyDescent="0.2">
      <c r="A22" s="16">
        <f>'DATA INPUT'!C26</f>
        <v>0</v>
      </c>
      <c r="B22" s="11" t="b">
        <f>IF('DATA INPUT'!B26="T. ser",0.1656*'DATA INPUT'!D26^1.4655,IF('DATA INPUT'!B26="S. mel",135.53*'DATA INPUT'!D26^3.8701/1000,IF('DATA INPUT'!B26="V. ref",143.01*'DATA INPUT'!D26^3.3147/1000,IF('DATA INPUT'!B26=1,143.35*'DATA INPUT'!D26^3.6046/1000,IF('DATA INPUT'!B26=2,0.1656*'DATA INPUT'!D26^1.4655,FALSE)))))</f>
        <v>0</v>
      </c>
      <c r="C22" s="8" t="b">
        <f>IF('DATA INPUT'!B26="T. ser",0.3356*'DATA INPUT'!E26^0.9984,IF('DATA INPUT'!B26="S. mel",24.906*'DATA INPUT'!E26^4.7681/1000,IF('DATA INPUT'!B26="V. ref",118.45*'DATA INPUT'!E26^3.5959/1000,IF('DATA INPUT'!B26=1,55.075*'DATA INPUT'!E26^4.0991/1000,IF('DATA INPUT'!B26=2,0.3356*'DATA INPUT'!E26^0.9984,FALSE)))))</f>
        <v>0</v>
      </c>
      <c r="D22" s="18" t="b">
        <f>IF('DATA INPUT'!B26="T. ser",0.0615*('DATA INPUT'!F26*'DATA INPUT'!G26)^0.9573,IF('DATA INPUT'!B26="S. mel",46.162*('DATA INPUT'!F26*'DATA INPUT'!G26)^2.3652/1000,IF('DATA INPUT'!B26="V. ref",90.34*('DATA INPUT'!F26*'DATA INPUT'!G26)^1.9756/1000,IF('DATA INPUT'!B26=1,63.022*('DATA INPUT'!F26*'DATA INPUT'!G26)^2.1551/1000,IF('DATA INPUT'!B26=2,0.0615*('DATA INPUT'!F26*'DATA INPUT'!G26)^0.9573,FALSE)))))</f>
        <v>0</v>
      </c>
      <c r="E22" s="8" t="b">
        <f>IF('DATA INPUT'!B26="T. ser",5.0562*('DATA INPUT'!H26*'DATA INPUT'!I26)^0.9574,IF('DATA INPUT'!B26="S. mel",44047*('DATA INPUT'!H26*'DATA INPUT'!I26)^1.5456/1000,IF('DATA INPUT'!B26="V. ref",91930*('DATA INPUT'!H26*'DATA INPUT'!I26)^1.7774/1000,IF('DATA INPUT'!B26=1,62601*('DATA INPUT'!H26*'DATA INPUT'!I26)^1.6463/1000,IF('DATA INPUT'!B26=2,5.0562*('DATA INPUT'!H26*'DATA INPUT'!I26)^0.9574,FALSE)))))</f>
        <v>0</v>
      </c>
      <c r="F22" s="18" t="b">
        <f>IF('DATA INPUT'!B26="T. ser",0.0009*I22^0.4477,IF('DATA INPUT'!B26="S. mel",0.0000004*I22^1.4912/1000,IF('DATA INPUT'!B26="V. ref",0.00000005*I22^1.6284/1000,IF('DATA INPUT'!B26=1,0.0000007*I22^1.4601/1000,IF('DATA INPUT'!B26=2,0.0009*I22^0.4477,FALSE)))))</f>
        <v>0</v>
      </c>
      <c r="G22" s="57">
        <f t="shared" si="0"/>
        <v>0</v>
      </c>
      <c r="H22" s="57"/>
      <c r="I22" s="2" t="b">
        <f>IF('DATA INPUT'!B26="T. ser",3.142*'DATA INPUT'!N26^2*'DATA INPUT'!O26/3+3.142*'DATA INPUT'!P26^2/3*(3*'DATA INPUT'!N26-'DATA INPUT'!P26),IF('DATA INPUT'!B26="S. mel",3.142*'DATA INPUT'!N26^2*'DATA INPUT'!O26/3+3.142*'DATA INPUT'!P26^2/3*(3*'DATA INPUT'!N26-'DATA INPUT'!P26),IF('DATA INPUT'!B26="V. ref",3.142*'DATA INPUT'!N26^2*'DATA INPUT'!O26/3+3.142*'DATA INPUT'!P26^2/3*(3*'DATA INPUT'!N26-'DATA INPUT'!P26),IF('DATA INPUT'!B26=1,3.142*'DATA INPUT'!N26^2*'DATA INPUT'!O26/3+3.142*'DATA INPUT'!P26^2/3*(3*'DATA INPUT'!N26-'DATA INPUT'!P26),IF('DATA INPUT'!B26=2,3.142*'DATA INPUT'!N26^2*'DATA INPUT'!O26/3+3.142*'DATA INPUT'!P26^2/3*(3*'DATA INPUT'!N26-'DATA INPUT'!P26),FALSE)))))</f>
        <v>0</v>
      </c>
      <c r="J22" s="2" t="b">
        <f>IF('DATA INPUT'!B26="T. ser",0.0458*CALCULATIONS!I22^0.6841,IF('DATA INPUT'!B26="S. mel",0.6047*CALCULATIONS!I22^0.6433,IF('DATA INPUT'!B26="V. ref",0.77086*CALCULATIONS!I22^0.4936,IF('DATA INPUT'!B26=1,0.68778*CALCULATIONS!I22^0.56845,IF('DATA INPUT'!B26=2,0.0458*CALCULATIONS!I22^0.6841,FALSE)))))</f>
        <v>0</v>
      </c>
      <c r="K22" s="3">
        <f t="shared" si="1"/>
        <v>0</v>
      </c>
      <c r="L22" s="3" t="b">
        <f>IF('DATA INPUT'!B26="T. ser",('DATA INPUT'!D26+'DATA INPUT'!F26+'DATA INPUT'!H26+'DATA INPUT'!J26)/1.5,IF('DATA INPUT'!B26="V. ref",('DATA INPUT'!D26+'DATA INPUT'!F26+'DATA INPUT'!H26+'DATA INPUT'!J26)/1.5,IF('DATA INPUT'!B26="S. mel",('DATA INPUT'!D26+'DATA INPUT'!F26+'DATA INPUT'!H26+'DATA INPUT'!J26)/1.5,IF('DATA INPUT'!B26=1,('DATA INPUT'!D26+'DATA INPUT'!F26+'DATA INPUT'!H26+'DATA INPUT'!J26)/1.5,IF('DATA INPUT'!B26=2,('DATA INPUT'!D26+'DATA INPUT'!F26+'DATA INPUT'!H26+'DATA INPUT'!J26)/1.5,FALSE)))))</f>
        <v>0</v>
      </c>
      <c r="N22" s="16">
        <f>'DATA INPUT'!C26</f>
        <v>0</v>
      </c>
      <c r="O22" s="3" t="b">
        <f>IF('DATA INPUT'!B26="T. ser",0.3446*'DATA INPUT'!D26^1.0619,IF('DATA INPUT'!B26="S. mel",(1270.6*'DATA INPUT'!D26^2.0933)/1000,IF('DATA INPUT'!B26="V. ref",(816.25*'DATA INPUT'!D26^2.1754)/1000,IF('DATA INPUT'!B26=1,(1492.4*'DATA INPUT'!D26^1.7591)/1000,IF('DATA INPUT'!B26=2,0.3446*'DATA INPUT'!D26^1.0619,FALSE)))))</f>
        <v>0</v>
      </c>
      <c r="P22" s="3" t="b">
        <f>IF('DATA INPUT'!B26="T. ser",0.3662*'DATA INPUT'!E26^1.5061,IF('DATA INPUT'!B26="S. mel",(748.47*'DATA INPUT'!E26^2.2691)/1000,IF('DATA INPUT'!B26="V. ref",(953.69*'DATA INPUT'!E26^1.9524)/1000,IF('DATA INPUT'!B26=1,(695.02*'DATA INPUT'!E26^2.3452)/1000,IF('DATA INPUT'!B26=2,0.3662*'DATA INPUT'!E26^1.5061,FALSE)))))</f>
        <v>0</v>
      </c>
      <c r="Q22" s="3" t="b">
        <f>IF('DATA INPUT'!B26="T. ser",0.1225*('DATA INPUT'!F26*'DATA INPUT'!G26)^0.8272,IF('DATA INPUT'!B26="S. mel",(925.08*('DATA INPUT'!F26*'DATA INPUT'!G26)^1.1603)/1000,IF('DATA INPUT'!B26="V. ref",(776.29*('DATA INPUT'!F26*'DATA INPUT'!G26)^1.1226)/1000,IF('DATA INPUT'!B26=1,(884.6*('DATA INPUT'!F26*'DATA INPUT'!G26)^1.129)/1000,IF('DATA INPUT'!B26=2,0.1225*('DATA INPUT'!F26*'DATA INPUT'!G26)^0.8272,FALSE)))))</f>
        <v>0</v>
      </c>
      <c r="R22" s="3" t="b">
        <f>IF('DATA INPUT'!B26="T. ser",5.5287*('DATA INPUT'!H26*'DATA INPUT'!I26)^0.8272,IF('DATA INPUT'!B26="S. mel",(31469*('DATA INPUT'!H26*'DATA INPUT'!I26)^0.8608)/1000,IF('DATA INPUT'!B26="V. ref",(39394*('DATA INPUT'!H26*'DATA INPUT'!I26)^1.005)/1000,IF('DATA INPUT'!B26=1,(31791*('DATA INPUT'!H26*'DATA INPUT'!I26)^0.8467)/1000,IF('DATA INPUT'!B26=2,5.5287*('DATA INPUT'!H26*'DATA INPUT'!I26)^0.8272,FALSE)))))</f>
        <v>0</v>
      </c>
      <c r="S22" s="3" t="b">
        <f>IF('DATA INPUT'!B26="T. ser",0.0005*I22^0.5148,IF('DATA INPUT'!B26="S. mel",0.051*I22^0.7789/1000,IF('DATA INPUT'!B26="V. ref",0.0958*I22^0.7253/1000,IF('DATA INPUT'!B26=1,0.0426*I22^0.786/1000,IF('DATA INPUT'!B26=2,0.0005*I22^0.5148,FALSE)))))</f>
        <v>0</v>
      </c>
      <c r="T22" s="59">
        <f t="shared" si="2"/>
        <v>0</v>
      </c>
      <c r="AB22">
        <f>'DATA INPUT'!Q26</f>
        <v>0</v>
      </c>
      <c r="AC22" s="2">
        <f>COUNTIF('DATA INPUT'!$C$7:$C$156,'DATA INPUT'!Q26)</f>
        <v>0</v>
      </c>
      <c r="AD22" s="2" t="e">
        <f>AC22*10000/RESULTS_REPORT!$C$18</f>
        <v>#DIV/0!</v>
      </c>
      <c r="AE22" s="2">
        <f t="shared" si="3"/>
        <v>0</v>
      </c>
      <c r="AF22" s="2" t="e">
        <f>AE22*10000/RESULTS_REPORT!$C$18</f>
        <v>#DIV/0!</v>
      </c>
      <c r="AG22" s="2">
        <f t="shared" si="4"/>
        <v>0</v>
      </c>
      <c r="AH22" s="2" t="e">
        <f>AG22*10000/RESULTS_REPORT!$C$18</f>
        <v>#DIV/0!</v>
      </c>
      <c r="AJ22" s="3">
        <f t="shared" si="5"/>
        <v>0</v>
      </c>
      <c r="AK22" s="2" t="e">
        <f>AJ22*10000/RESULTS_REPORT!$C$18</f>
        <v>#DIV/0!</v>
      </c>
      <c r="AL22" s="2">
        <f t="shared" si="6"/>
        <v>0</v>
      </c>
      <c r="AM22" s="3" t="e">
        <f>AL22*10000/RESULTS_REPORT!$C$18</f>
        <v>#DIV/0!</v>
      </c>
      <c r="AN22" s="3"/>
    </row>
    <row r="23" spans="1:40" x14ac:dyDescent="0.2">
      <c r="A23" s="16">
        <f>'DATA INPUT'!C27</f>
        <v>0</v>
      </c>
      <c r="B23" s="11" t="b">
        <f>IF('DATA INPUT'!B27="T. ser",0.1656*'DATA INPUT'!D27^1.4655,IF('DATA INPUT'!B27="S. mel",135.53*'DATA INPUT'!D27^3.8701/1000,IF('DATA INPUT'!B27="V. ref",143.01*'DATA INPUT'!D27^3.3147/1000,IF('DATA INPUT'!B27=1,143.35*'DATA INPUT'!D27^3.6046/1000,IF('DATA INPUT'!B27=2,0.1656*'DATA INPUT'!D27^1.4655,FALSE)))))</f>
        <v>0</v>
      </c>
      <c r="C23" s="8" t="b">
        <f>IF('DATA INPUT'!B27="T. ser",0.3356*'DATA INPUT'!E27^0.9984,IF('DATA INPUT'!B27="S. mel",24.906*'DATA INPUT'!E27^4.7681/1000,IF('DATA INPUT'!B27="V. ref",118.45*'DATA INPUT'!E27^3.5959/1000,IF('DATA INPUT'!B27=1,55.075*'DATA INPUT'!E27^4.0991/1000,IF('DATA INPUT'!B27=2,0.3356*'DATA INPUT'!E27^0.9984,FALSE)))))</f>
        <v>0</v>
      </c>
      <c r="D23" s="18" t="b">
        <f>IF('DATA INPUT'!B27="T. ser",0.0615*('DATA INPUT'!F27*'DATA INPUT'!G27)^0.9573,IF('DATA INPUT'!B27="S. mel",46.162*('DATA INPUT'!F27*'DATA INPUT'!G27)^2.3652/1000,IF('DATA INPUT'!B27="V. ref",90.34*('DATA INPUT'!F27*'DATA INPUT'!G27)^1.9756/1000,IF('DATA INPUT'!B27=1,63.022*('DATA INPUT'!F27*'DATA INPUT'!G27)^2.1551/1000,IF('DATA INPUT'!B27=2,0.0615*('DATA INPUT'!F27*'DATA INPUT'!G27)^0.9573,FALSE)))))</f>
        <v>0</v>
      </c>
      <c r="E23" s="8" t="b">
        <f>IF('DATA INPUT'!B27="T. ser",5.0562*('DATA INPUT'!H27*'DATA INPUT'!I27)^0.9574,IF('DATA INPUT'!B27="S. mel",44047*('DATA INPUT'!H27*'DATA INPUT'!I27)^1.5456/1000,IF('DATA INPUT'!B27="V. ref",91930*('DATA INPUT'!H27*'DATA INPUT'!I27)^1.7774/1000,IF('DATA INPUT'!B27=1,62601*('DATA INPUT'!H27*'DATA INPUT'!I27)^1.6463/1000,IF('DATA INPUT'!B27=2,5.0562*('DATA INPUT'!H27*'DATA INPUT'!I27)^0.9574,FALSE)))))</f>
        <v>0</v>
      </c>
      <c r="F23" s="18" t="b">
        <f>IF('DATA INPUT'!B27="T. ser",0.0009*I23^0.4477,IF('DATA INPUT'!B27="S. mel",0.0000004*I23^1.4912/1000,IF('DATA INPUT'!B27="V. ref",0.00000005*I23^1.6284/1000,IF('DATA INPUT'!B27=1,0.0000007*I23^1.4601/1000,IF('DATA INPUT'!B27=2,0.0009*I23^0.4477,FALSE)))))</f>
        <v>0</v>
      </c>
      <c r="G23" s="57">
        <f t="shared" si="0"/>
        <v>0</v>
      </c>
      <c r="H23" s="57"/>
      <c r="I23" s="2" t="b">
        <f>IF('DATA INPUT'!B27="T. ser",3.142*'DATA INPUT'!N27^2*'DATA INPUT'!O27/3+3.142*'DATA INPUT'!P27^2/3*(3*'DATA INPUT'!N27-'DATA INPUT'!P27),IF('DATA INPUT'!B27="S. mel",3.142*'DATA INPUT'!N27^2*'DATA INPUT'!O27/3+3.142*'DATA INPUT'!P27^2/3*(3*'DATA INPUT'!N27-'DATA INPUT'!P27),IF('DATA INPUT'!B27="V. ref",3.142*'DATA INPUT'!N27^2*'DATA INPUT'!O27/3+3.142*'DATA INPUT'!P27^2/3*(3*'DATA INPUT'!N27-'DATA INPUT'!P27),IF('DATA INPUT'!B27=1,3.142*'DATA INPUT'!N27^2*'DATA INPUT'!O27/3+3.142*'DATA INPUT'!P27^2/3*(3*'DATA INPUT'!N27-'DATA INPUT'!P27),IF('DATA INPUT'!B27=2,3.142*'DATA INPUT'!N27^2*'DATA INPUT'!O27/3+3.142*'DATA INPUT'!P27^2/3*(3*'DATA INPUT'!N27-'DATA INPUT'!P27),FALSE)))))</f>
        <v>0</v>
      </c>
      <c r="J23" s="2" t="b">
        <f>IF('DATA INPUT'!B27="T. ser",0.0458*CALCULATIONS!I23^0.6841,IF('DATA INPUT'!B27="S. mel",0.6047*CALCULATIONS!I23^0.6433,IF('DATA INPUT'!B27="V. ref",0.77086*CALCULATIONS!I23^0.4936,IF('DATA INPUT'!B27=1,0.68778*CALCULATIONS!I23^0.56845,IF('DATA INPUT'!B27=2,0.0458*CALCULATIONS!I23^0.6841,FALSE)))))</f>
        <v>0</v>
      </c>
      <c r="K23" s="3">
        <f t="shared" si="1"/>
        <v>0</v>
      </c>
      <c r="L23" s="3" t="b">
        <f>IF('DATA INPUT'!B27="T. ser",('DATA INPUT'!D27+'DATA INPUT'!F27+'DATA INPUT'!H27+'DATA INPUT'!J27)/1.5,IF('DATA INPUT'!B27="V. ref",('DATA INPUT'!D27+'DATA INPUT'!F27+'DATA INPUT'!H27+'DATA INPUT'!J27)/1.5,IF('DATA INPUT'!B27="S. mel",('DATA INPUT'!D27+'DATA INPUT'!F27+'DATA INPUT'!H27+'DATA INPUT'!J27)/1.5,IF('DATA INPUT'!B27=1,('DATA INPUT'!D27+'DATA INPUT'!F27+'DATA INPUT'!H27+'DATA INPUT'!J27)/1.5,IF('DATA INPUT'!B27=2,('DATA INPUT'!D27+'DATA INPUT'!F27+'DATA INPUT'!H27+'DATA INPUT'!J27)/1.5,FALSE)))))</f>
        <v>0</v>
      </c>
      <c r="N23" s="16">
        <f>'DATA INPUT'!C27</f>
        <v>0</v>
      </c>
      <c r="O23" s="3" t="b">
        <f>IF('DATA INPUT'!B27="T. ser",0.3446*'DATA INPUT'!D27^1.0619,IF('DATA INPUT'!B27="S. mel",(1270.6*'DATA INPUT'!D27^2.0933)/1000,IF('DATA INPUT'!B27="V. ref",(816.25*'DATA INPUT'!D27^2.1754)/1000,IF('DATA INPUT'!B27=1,(1492.4*'DATA INPUT'!D27^1.7591)/1000,IF('DATA INPUT'!B27=2,0.3446*'DATA INPUT'!D27^1.0619,FALSE)))))</f>
        <v>0</v>
      </c>
      <c r="P23" s="3" t="b">
        <f>IF('DATA INPUT'!B27="T. ser",0.3662*'DATA INPUT'!E27^1.5061,IF('DATA INPUT'!B27="S. mel",(748.47*'DATA INPUT'!E27^2.2691)/1000,IF('DATA INPUT'!B27="V. ref",(953.69*'DATA INPUT'!E27^1.9524)/1000,IF('DATA INPUT'!B27=1,(695.02*'DATA INPUT'!E27^2.3452)/1000,IF('DATA INPUT'!B27=2,0.3662*'DATA INPUT'!E27^1.5061,FALSE)))))</f>
        <v>0</v>
      </c>
      <c r="Q23" s="3" t="b">
        <f>IF('DATA INPUT'!B27="T. ser",0.1225*('DATA INPUT'!F27*'DATA INPUT'!G27)^0.8272,IF('DATA INPUT'!B27="S. mel",(925.08*('DATA INPUT'!F27*'DATA INPUT'!G27)^1.1603)/1000,IF('DATA INPUT'!B27="V. ref",(776.29*('DATA INPUT'!F27*'DATA INPUT'!G27)^1.1226)/1000,IF('DATA INPUT'!B27=1,(884.6*('DATA INPUT'!F27*'DATA INPUT'!G27)^1.129)/1000,IF('DATA INPUT'!B27=2,0.1225*('DATA INPUT'!F27*'DATA INPUT'!G27)^0.8272,FALSE)))))</f>
        <v>0</v>
      </c>
      <c r="R23" s="3" t="b">
        <f>IF('DATA INPUT'!B27="T. ser",5.5287*('DATA INPUT'!H27*'DATA INPUT'!I27)^0.8272,IF('DATA INPUT'!B27="S. mel",(31469*('DATA INPUT'!H27*'DATA INPUT'!I27)^0.8608)/1000,IF('DATA INPUT'!B27="V. ref",(39394*('DATA INPUT'!H27*'DATA INPUT'!I27)^1.005)/1000,IF('DATA INPUT'!B27=1,(31791*('DATA INPUT'!H27*'DATA INPUT'!I27)^0.8467)/1000,IF('DATA INPUT'!B27=2,5.5287*('DATA INPUT'!H27*'DATA INPUT'!I27)^0.8272,FALSE)))))</f>
        <v>0</v>
      </c>
      <c r="S23" s="3" t="b">
        <f>IF('DATA INPUT'!B27="T. ser",0.0005*I23^0.5148,IF('DATA INPUT'!B27="S. mel",0.051*I23^0.7789/1000,IF('DATA INPUT'!B27="V. ref",0.0958*I23^0.7253/1000,IF('DATA INPUT'!B27=1,0.0426*I23^0.786/1000,IF('DATA INPUT'!B27=2,0.0005*I23^0.5148,FALSE)))))</f>
        <v>0</v>
      </c>
      <c r="T23" s="59">
        <f t="shared" si="2"/>
        <v>0</v>
      </c>
      <c r="AB23" s="1">
        <f>'DATA INPUT'!Q27</f>
        <v>0</v>
      </c>
      <c r="AC23" s="2">
        <f>COUNTIF('DATA INPUT'!$C$7:$C$156,'DATA INPUT'!Q27)</f>
        <v>0</v>
      </c>
      <c r="AD23" s="2" t="e">
        <f>AC23*10000/RESULTS_REPORT!$C$18</f>
        <v>#DIV/0!</v>
      </c>
      <c r="AE23" s="2">
        <f t="shared" si="3"/>
        <v>0</v>
      </c>
      <c r="AF23" s="2" t="e">
        <f>AE23*10000/RESULTS_REPORT!$C$18</f>
        <v>#DIV/0!</v>
      </c>
      <c r="AG23" s="2">
        <f t="shared" si="4"/>
        <v>0</v>
      </c>
      <c r="AH23" s="2" t="e">
        <f>AG23*10000/RESULTS_REPORT!$C$18</f>
        <v>#DIV/0!</v>
      </c>
      <c r="AJ23" s="3">
        <f t="shared" si="5"/>
        <v>0</v>
      </c>
      <c r="AK23" s="2" t="e">
        <f>AJ23*10000/RESULTS_REPORT!$C$18</f>
        <v>#DIV/0!</v>
      </c>
      <c r="AL23" s="2">
        <f t="shared" si="6"/>
        <v>0</v>
      </c>
      <c r="AM23" s="3" t="e">
        <f>AL23*10000/RESULTS_REPORT!$C$18</f>
        <v>#DIV/0!</v>
      </c>
      <c r="AN23" s="3"/>
    </row>
    <row r="24" spans="1:40" x14ac:dyDescent="0.2">
      <c r="A24" s="16">
        <f>'DATA INPUT'!C28</f>
        <v>0</v>
      </c>
      <c r="B24" s="11" t="b">
        <f>IF('DATA INPUT'!B28="T. ser",0.1656*'DATA INPUT'!D28^1.4655,IF('DATA INPUT'!B28="S. mel",135.53*'DATA INPUT'!D28^3.8701/1000,IF('DATA INPUT'!B28="V. ref",143.01*'DATA INPUT'!D28^3.3147/1000,IF('DATA INPUT'!B28=1,143.35*'DATA INPUT'!D28^3.6046/1000,IF('DATA INPUT'!B28=2,0.1656*'DATA INPUT'!D28^1.4655,FALSE)))))</f>
        <v>0</v>
      </c>
      <c r="C24" s="8" t="b">
        <f>IF('DATA INPUT'!B28="T. ser",0.3356*'DATA INPUT'!E28^0.9984,IF('DATA INPUT'!B28="S. mel",24.906*'DATA INPUT'!E28^4.7681/1000,IF('DATA INPUT'!B28="V. ref",118.45*'DATA INPUT'!E28^3.5959/1000,IF('DATA INPUT'!B28=1,55.075*'DATA INPUT'!E28^4.0991/1000,IF('DATA INPUT'!B28=2,0.3356*'DATA INPUT'!E28^0.9984,FALSE)))))</f>
        <v>0</v>
      </c>
      <c r="D24" s="18" t="b">
        <f>IF('DATA INPUT'!B28="T. ser",0.0615*('DATA INPUT'!F28*'DATA INPUT'!G28)^0.9573,IF('DATA INPUT'!B28="S. mel",46.162*('DATA INPUT'!F28*'DATA INPUT'!G28)^2.3652/1000,IF('DATA INPUT'!B28="V. ref",90.34*('DATA INPUT'!F28*'DATA INPUT'!G28)^1.9756/1000,IF('DATA INPUT'!B28=1,63.022*('DATA INPUT'!F28*'DATA INPUT'!G28)^2.1551/1000,IF('DATA INPUT'!B28=2,0.0615*('DATA INPUT'!F28*'DATA INPUT'!G28)^0.9573,FALSE)))))</f>
        <v>0</v>
      </c>
      <c r="E24" s="8" t="b">
        <f>IF('DATA INPUT'!B28="T. ser",5.0562*('DATA INPUT'!H28*'DATA INPUT'!I28)^0.9574,IF('DATA INPUT'!B28="S. mel",44047*('DATA INPUT'!H28*'DATA INPUT'!I28)^1.5456/1000,IF('DATA INPUT'!B28="V. ref",91930*('DATA INPUT'!H28*'DATA INPUT'!I28)^1.7774/1000,IF('DATA INPUT'!B28=1,62601*('DATA INPUT'!H28*'DATA INPUT'!I28)^1.6463/1000,IF('DATA INPUT'!B28=2,5.0562*('DATA INPUT'!H28*'DATA INPUT'!I28)^0.9574,FALSE)))))</f>
        <v>0</v>
      </c>
      <c r="F24" s="18" t="b">
        <f>IF('DATA INPUT'!B28="T. ser",0.0009*I24^0.4477,IF('DATA INPUT'!B28="S. mel",0.0000004*I24^1.4912/1000,IF('DATA INPUT'!B28="V. ref",0.00000005*I24^1.6284/1000,IF('DATA INPUT'!B28=1,0.0000007*I24^1.4601/1000,IF('DATA INPUT'!B28=2,0.0009*I24^0.4477,FALSE)))))</f>
        <v>0</v>
      </c>
      <c r="G24" s="57">
        <f t="shared" si="0"/>
        <v>0</v>
      </c>
      <c r="H24" s="57"/>
      <c r="I24" s="2" t="b">
        <f>IF('DATA INPUT'!B28="T. ser",3.142*'DATA INPUT'!N28^2*'DATA INPUT'!O28/3+3.142*'DATA INPUT'!P28^2/3*(3*'DATA INPUT'!N28-'DATA INPUT'!P28),IF('DATA INPUT'!B28="S. mel",3.142*'DATA INPUT'!N28^2*'DATA INPUT'!O28/3+3.142*'DATA INPUT'!P28^2/3*(3*'DATA INPUT'!N28-'DATA INPUT'!P28),IF('DATA INPUT'!B28="V. ref",3.142*'DATA INPUT'!N28^2*'DATA INPUT'!O28/3+3.142*'DATA INPUT'!P28^2/3*(3*'DATA INPUT'!N28-'DATA INPUT'!P28),IF('DATA INPUT'!B28=1,3.142*'DATA INPUT'!N28^2*'DATA INPUT'!O28/3+3.142*'DATA INPUT'!P28^2/3*(3*'DATA INPUT'!N28-'DATA INPUT'!P28),IF('DATA INPUT'!B28=2,3.142*'DATA INPUT'!N28^2*'DATA INPUT'!O28/3+3.142*'DATA INPUT'!P28^2/3*(3*'DATA INPUT'!N28-'DATA INPUT'!P28),FALSE)))))</f>
        <v>0</v>
      </c>
      <c r="J24" s="2" t="b">
        <f>IF('DATA INPUT'!B28="T. ser",0.0458*CALCULATIONS!I24^0.6841,IF('DATA INPUT'!B28="S. mel",0.6047*CALCULATIONS!I24^0.6433,IF('DATA INPUT'!B28="V. ref",0.77086*CALCULATIONS!I24^0.4936,IF('DATA INPUT'!B28=1,0.68778*CALCULATIONS!I24^0.56845,IF('DATA INPUT'!B28=2,0.0458*CALCULATIONS!I24^0.6841,FALSE)))))</f>
        <v>0</v>
      </c>
      <c r="K24" s="3">
        <f t="shared" si="1"/>
        <v>0</v>
      </c>
      <c r="L24" s="3" t="b">
        <f>IF('DATA INPUT'!B28="T. ser",('DATA INPUT'!D28+'DATA INPUT'!F28+'DATA INPUT'!H28+'DATA INPUT'!J28)/1.5,IF('DATA INPUT'!B28="V. ref",('DATA INPUT'!D28+'DATA INPUT'!F28+'DATA INPUT'!H28+'DATA INPUT'!J28)/1.5,IF('DATA INPUT'!B28="S. mel",('DATA INPUT'!D28+'DATA INPUT'!F28+'DATA INPUT'!H28+'DATA INPUT'!J28)/1.5,IF('DATA INPUT'!B28=1,('DATA INPUT'!D28+'DATA INPUT'!F28+'DATA INPUT'!H28+'DATA INPUT'!J28)/1.5,IF('DATA INPUT'!B28=2,('DATA INPUT'!D28+'DATA INPUT'!F28+'DATA INPUT'!H28+'DATA INPUT'!J28)/1.5,FALSE)))))</f>
        <v>0</v>
      </c>
      <c r="N24" s="16">
        <f>'DATA INPUT'!C28</f>
        <v>0</v>
      </c>
      <c r="O24" s="3" t="b">
        <f>IF('DATA INPUT'!B28="T. ser",0.3446*'DATA INPUT'!D28^1.0619,IF('DATA INPUT'!B28="S. mel",(1270.6*'DATA INPUT'!D28^2.0933)/1000,IF('DATA INPUT'!B28="V. ref",(816.25*'DATA INPUT'!D28^2.1754)/1000,IF('DATA INPUT'!B28=1,(1492.4*'DATA INPUT'!D28^1.7591)/1000,IF('DATA INPUT'!B28=2,0.3446*'DATA INPUT'!D28^1.0619,FALSE)))))</f>
        <v>0</v>
      </c>
      <c r="P24" s="3" t="b">
        <f>IF('DATA INPUT'!B28="T. ser",0.3662*'DATA INPUT'!E28^1.5061,IF('DATA INPUT'!B28="S. mel",(748.47*'DATA INPUT'!E28^2.2691)/1000,IF('DATA INPUT'!B28="V. ref",(953.69*'DATA INPUT'!E28^1.9524)/1000,IF('DATA INPUT'!B28=1,(695.02*'DATA INPUT'!E28^2.3452)/1000,IF('DATA INPUT'!B28=2,0.3662*'DATA INPUT'!E28^1.5061,FALSE)))))</f>
        <v>0</v>
      </c>
      <c r="Q24" s="3" t="b">
        <f>IF('DATA INPUT'!B28="T. ser",0.1225*('DATA INPUT'!F28*'DATA INPUT'!G28)^0.8272,IF('DATA INPUT'!B28="S. mel",(925.08*('DATA INPUT'!F28*'DATA INPUT'!G28)^1.1603)/1000,IF('DATA INPUT'!B28="V. ref",(776.29*('DATA INPUT'!F28*'DATA INPUT'!G28)^1.1226)/1000,IF('DATA INPUT'!B28=1,(884.6*('DATA INPUT'!F28*'DATA INPUT'!G28)^1.129)/1000,IF('DATA INPUT'!B28=2,0.1225*('DATA INPUT'!F28*'DATA INPUT'!G28)^0.8272,FALSE)))))</f>
        <v>0</v>
      </c>
      <c r="R24" s="3" t="b">
        <f>IF('DATA INPUT'!B28="T. ser",5.5287*('DATA INPUT'!H28*'DATA INPUT'!I28)^0.8272,IF('DATA INPUT'!B28="S. mel",(31469*('DATA INPUT'!H28*'DATA INPUT'!I28)^0.8608)/1000,IF('DATA INPUT'!B28="V. ref",(39394*('DATA INPUT'!H28*'DATA INPUT'!I28)^1.005)/1000,IF('DATA INPUT'!B28=1,(31791*('DATA INPUT'!H28*'DATA INPUT'!I28)^0.8467)/1000,IF('DATA INPUT'!B28=2,5.5287*('DATA INPUT'!H28*'DATA INPUT'!I28)^0.8272,FALSE)))))</f>
        <v>0</v>
      </c>
      <c r="S24" s="3" t="b">
        <f>IF('DATA INPUT'!B28="T. ser",0.0005*I24^0.5148,IF('DATA INPUT'!B28="S. mel",0.051*I24^0.7789/1000,IF('DATA INPUT'!B28="V. ref",0.0958*I24^0.7253/1000,IF('DATA INPUT'!B28=1,0.0426*I24^0.786/1000,IF('DATA INPUT'!B28=2,0.0005*I24^0.5148,FALSE)))))</f>
        <v>0</v>
      </c>
      <c r="T24" s="59">
        <f t="shared" si="2"/>
        <v>0</v>
      </c>
      <c r="AB24">
        <f>'DATA INPUT'!Q28</f>
        <v>0</v>
      </c>
      <c r="AC24" s="2">
        <f>COUNTIF('DATA INPUT'!$C$7:$C$156,'DATA INPUT'!Q28)</f>
        <v>0</v>
      </c>
      <c r="AD24" s="2" t="e">
        <f>AC24*10000/RESULTS_REPORT!$C$18</f>
        <v>#DIV/0!</v>
      </c>
      <c r="AE24" s="2">
        <f t="shared" si="3"/>
        <v>0</v>
      </c>
      <c r="AF24" s="2" t="e">
        <f>AE24*10000/RESULTS_REPORT!$C$18</f>
        <v>#DIV/0!</v>
      </c>
      <c r="AG24" s="2">
        <f t="shared" si="4"/>
        <v>0</v>
      </c>
      <c r="AH24" s="2" t="e">
        <f>AG24*10000/RESULTS_REPORT!$C$18</f>
        <v>#DIV/0!</v>
      </c>
      <c r="AJ24" s="3">
        <f t="shared" si="5"/>
        <v>0</v>
      </c>
      <c r="AK24" s="2" t="e">
        <f>AJ24*10000/RESULTS_REPORT!$C$18</f>
        <v>#DIV/0!</v>
      </c>
      <c r="AL24" s="2">
        <f t="shared" si="6"/>
        <v>0</v>
      </c>
      <c r="AM24" s="3" t="e">
        <f>AL24*10000/RESULTS_REPORT!$C$18</f>
        <v>#DIV/0!</v>
      </c>
      <c r="AN24" s="3"/>
    </row>
    <row r="25" spans="1:40" x14ac:dyDescent="0.2">
      <c r="A25" s="16">
        <f>'DATA INPUT'!C29</f>
        <v>0</v>
      </c>
      <c r="B25" s="11" t="b">
        <f>IF('DATA INPUT'!B29="T. ser",0.1656*'DATA INPUT'!D29^1.4655,IF('DATA INPUT'!B29="S. mel",135.53*'DATA INPUT'!D29^3.8701/1000,IF('DATA INPUT'!B29="V. ref",143.01*'DATA INPUT'!D29^3.3147/1000,IF('DATA INPUT'!B29=1,143.35*'DATA INPUT'!D29^3.6046/1000,IF('DATA INPUT'!B29=2,0.1656*'DATA INPUT'!D29^1.4655,FALSE)))))</f>
        <v>0</v>
      </c>
      <c r="C25" s="8" t="b">
        <f>IF('DATA INPUT'!B29="T. ser",0.3356*'DATA INPUT'!E29^0.9984,IF('DATA INPUT'!B29="S. mel",24.906*'DATA INPUT'!E29^4.7681/1000,IF('DATA INPUT'!B29="V. ref",118.45*'DATA INPUT'!E29^3.5959/1000,IF('DATA INPUT'!B29=1,55.075*'DATA INPUT'!E29^4.0991/1000,IF('DATA INPUT'!B29=2,0.3356*'DATA INPUT'!E29^0.9984,FALSE)))))</f>
        <v>0</v>
      </c>
      <c r="D25" s="18" t="b">
        <f>IF('DATA INPUT'!B29="T. ser",0.0615*('DATA INPUT'!F29*'DATA INPUT'!G29)^0.9573,IF('DATA INPUT'!B29="S. mel",46.162*('DATA INPUT'!F29*'DATA INPUT'!G29)^2.3652/1000,IF('DATA INPUT'!B29="V. ref",90.34*('DATA INPUT'!F29*'DATA INPUT'!G29)^1.9756/1000,IF('DATA INPUT'!B29=1,63.022*('DATA INPUT'!F29*'DATA INPUT'!G29)^2.1551/1000,IF('DATA INPUT'!B29=2,0.0615*('DATA INPUT'!F29*'DATA INPUT'!G29)^0.9573,FALSE)))))</f>
        <v>0</v>
      </c>
      <c r="E25" s="8" t="b">
        <f>IF('DATA INPUT'!B29="T. ser",5.0562*('DATA INPUT'!H29*'DATA INPUT'!I29)^0.9574,IF('DATA INPUT'!B29="S. mel",44047*('DATA INPUT'!H29*'DATA INPUT'!I29)^1.5456/1000,IF('DATA INPUT'!B29="V. ref",91930*('DATA INPUT'!H29*'DATA INPUT'!I29)^1.7774/1000,IF('DATA INPUT'!B29=1,62601*('DATA INPUT'!H29*'DATA INPUT'!I29)^1.6463/1000,IF('DATA INPUT'!B29=2,5.0562*('DATA INPUT'!H29*'DATA INPUT'!I29)^0.9574,FALSE)))))</f>
        <v>0</v>
      </c>
      <c r="F25" s="18" t="b">
        <f>IF('DATA INPUT'!B29="T. ser",0.0009*I25^0.4477,IF('DATA INPUT'!B29="S. mel",0.0000004*I25^1.4912/1000,IF('DATA INPUT'!B29="V. ref",0.00000005*I25^1.6284/1000,IF('DATA INPUT'!B29=1,0.0000007*I25^1.4601/1000,IF('DATA INPUT'!B29=2,0.0009*I25^0.4477,FALSE)))))</f>
        <v>0</v>
      </c>
      <c r="G25" s="57">
        <f t="shared" si="0"/>
        <v>0</v>
      </c>
      <c r="H25" s="57"/>
      <c r="I25" s="2" t="b">
        <f>IF('DATA INPUT'!B29="T. ser",3.142*'DATA INPUT'!N29^2*'DATA INPUT'!O29/3+3.142*'DATA INPUT'!P29^2/3*(3*'DATA INPUT'!N29-'DATA INPUT'!P29),IF('DATA INPUT'!B29="S. mel",3.142*'DATA INPUT'!N29^2*'DATA INPUT'!O29/3+3.142*'DATA INPUT'!P29^2/3*(3*'DATA INPUT'!N29-'DATA INPUT'!P29),IF('DATA INPUT'!B29="V. ref",3.142*'DATA INPUT'!N29^2*'DATA INPUT'!O29/3+3.142*'DATA INPUT'!P29^2/3*(3*'DATA INPUT'!N29-'DATA INPUT'!P29),IF('DATA INPUT'!B29=1,3.142*'DATA INPUT'!N29^2*'DATA INPUT'!O29/3+3.142*'DATA INPUT'!P29^2/3*(3*'DATA INPUT'!N29-'DATA INPUT'!P29),IF('DATA INPUT'!B29=2,3.142*'DATA INPUT'!N29^2*'DATA INPUT'!O29/3+3.142*'DATA INPUT'!P29^2/3*(3*'DATA INPUT'!N29-'DATA INPUT'!P29),FALSE)))))</f>
        <v>0</v>
      </c>
      <c r="J25" s="2" t="b">
        <f>IF('DATA INPUT'!B29="T. ser",0.0458*CALCULATIONS!I25^0.6841,IF('DATA INPUT'!B29="S. mel",0.6047*CALCULATIONS!I25^0.6433,IF('DATA INPUT'!B29="V. ref",0.77086*CALCULATIONS!I25^0.4936,IF('DATA INPUT'!B29=1,0.68778*CALCULATIONS!I25^0.56845,IF('DATA INPUT'!B29=2,0.0458*CALCULATIONS!I25^0.6841,FALSE)))))</f>
        <v>0</v>
      </c>
      <c r="K25" s="3">
        <f t="shared" si="1"/>
        <v>0</v>
      </c>
      <c r="L25" s="3" t="b">
        <f>IF('DATA INPUT'!B29="T. ser",('DATA INPUT'!D29+'DATA INPUT'!F29+'DATA INPUT'!H29+'DATA INPUT'!J29)/1.5,IF('DATA INPUT'!B29="V. ref",('DATA INPUT'!D29+'DATA INPUT'!F29+'DATA INPUT'!H29+'DATA INPUT'!J29)/1.5,IF('DATA INPUT'!B29="S. mel",('DATA INPUT'!D29+'DATA INPUT'!F29+'DATA INPUT'!H29+'DATA INPUT'!J29)/1.5,IF('DATA INPUT'!B29=1,('DATA INPUT'!D29+'DATA INPUT'!F29+'DATA INPUT'!H29+'DATA INPUT'!J29)/1.5,IF('DATA INPUT'!B29=2,('DATA INPUT'!D29+'DATA INPUT'!F29+'DATA INPUT'!H29+'DATA INPUT'!J29)/1.5,FALSE)))))</f>
        <v>0</v>
      </c>
      <c r="N25" s="16">
        <f>'DATA INPUT'!C29</f>
        <v>0</v>
      </c>
      <c r="O25" s="3" t="b">
        <f>IF('DATA INPUT'!B29="T. ser",0.3446*'DATA INPUT'!D29^1.0619,IF('DATA INPUT'!B29="S. mel",(1270.6*'DATA INPUT'!D29^2.0933)/1000,IF('DATA INPUT'!B29="V. ref",(816.25*'DATA INPUT'!D29^2.1754)/1000,IF('DATA INPUT'!B29=1,(1492.4*'DATA INPUT'!D29^1.7591)/1000,IF('DATA INPUT'!B29=2,0.3446*'DATA INPUT'!D29^1.0619,FALSE)))))</f>
        <v>0</v>
      </c>
      <c r="P25" s="3" t="b">
        <f>IF('DATA INPUT'!B29="T. ser",0.3662*'DATA INPUT'!E29^1.5061,IF('DATA INPUT'!B29="S. mel",(748.47*'DATA INPUT'!E29^2.2691)/1000,IF('DATA INPUT'!B29="V. ref",(953.69*'DATA INPUT'!E29^1.9524)/1000,IF('DATA INPUT'!B29=1,(695.02*'DATA INPUT'!E29^2.3452)/1000,IF('DATA INPUT'!B29=2,0.3662*'DATA INPUT'!E29^1.5061,FALSE)))))</f>
        <v>0</v>
      </c>
      <c r="Q25" s="3" t="b">
        <f>IF('DATA INPUT'!B29="T. ser",0.1225*('DATA INPUT'!F29*'DATA INPUT'!G29)^0.8272,IF('DATA INPUT'!B29="S. mel",(925.08*('DATA INPUT'!F29*'DATA INPUT'!G29)^1.1603)/1000,IF('DATA INPUT'!B29="V. ref",(776.29*('DATA INPUT'!F29*'DATA INPUT'!G29)^1.1226)/1000,IF('DATA INPUT'!B29=1,(884.6*('DATA INPUT'!F29*'DATA INPUT'!G29)^1.129)/1000,IF('DATA INPUT'!B29=2,0.1225*('DATA INPUT'!F29*'DATA INPUT'!G29)^0.8272,FALSE)))))</f>
        <v>0</v>
      </c>
      <c r="R25" s="3" t="b">
        <f>IF('DATA INPUT'!B29="T. ser",5.5287*('DATA INPUT'!H29*'DATA INPUT'!I29)^0.8272,IF('DATA INPUT'!B29="S. mel",(31469*('DATA INPUT'!H29*'DATA INPUT'!I29)^0.8608)/1000,IF('DATA INPUT'!B29="V. ref",(39394*('DATA INPUT'!H29*'DATA INPUT'!I29)^1.005)/1000,IF('DATA INPUT'!B29=1,(31791*('DATA INPUT'!H29*'DATA INPUT'!I29)^0.8467)/1000,IF('DATA INPUT'!B29=2,5.5287*('DATA INPUT'!H29*'DATA INPUT'!I29)^0.8272,FALSE)))))</f>
        <v>0</v>
      </c>
      <c r="S25" s="3" t="b">
        <f>IF('DATA INPUT'!B29="T. ser",0.0005*I25^0.5148,IF('DATA INPUT'!B29="S. mel",0.051*I25^0.7789/1000,IF('DATA INPUT'!B29="V. ref",0.0958*I25^0.7253/1000,IF('DATA INPUT'!B29=1,0.0426*I25^0.786/1000,IF('DATA INPUT'!B29=2,0.0005*I25^0.5148,FALSE)))))</f>
        <v>0</v>
      </c>
      <c r="T25" s="59">
        <f t="shared" si="2"/>
        <v>0</v>
      </c>
      <c r="AB25" s="1">
        <f>'DATA INPUT'!Q29</f>
        <v>0</v>
      </c>
      <c r="AC25" s="2">
        <f>COUNTIF('DATA INPUT'!$C$7:$C$156,'DATA INPUT'!Q29)</f>
        <v>0</v>
      </c>
      <c r="AD25" s="2" t="e">
        <f>AC25*10000/RESULTS_REPORT!$C$18</f>
        <v>#DIV/0!</v>
      </c>
      <c r="AE25" s="2">
        <f t="shared" si="3"/>
        <v>0</v>
      </c>
      <c r="AF25" s="2" t="e">
        <f>AE25*10000/RESULTS_REPORT!$C$18</f>
        <v>#DIV/0!</v>
      </c>
      <c r="AG25" s="2">
        <f t="shared" si="4"/>
        <v>0</v>
      </c>
      <c r="AH25" s="2" t="e">
        <f>AG25*10000/RESULTS_REPORT!$C$18</f>
        <v>#DIV/0!</v>
      </c>
      <c r="AJ25" s="3">
        <f t="shared" si="5"/>
        <v>0</v>
      </c>
      <c r="AK25" s="2" t="e">
        <f>AJ25*10000/RESULTS_REPORT!$C$18</f>
        <v>#DIV/0!</v>
      </c>
      <c r="AL25" s="2">
        <f t="shared" si="6"/>
        <v>0</v>
      </c>
      <c r="AM25" s="3" t="e">
        <f>AL25*10000/RESULTS_REPORT!$C$18</f>
        <v>#DIV/0!</v>
      </c>
      <c r="AN25" s="3"/>
    </row>
    <row r="26" spans="1:40" x14ac:dyDescent="0.2">
      <c r="A26" s="16">
        <f>'DATA INPUT'!C30</f>
        <v>0</v>
      </c>
      <c r="B26" s="11" t="b">
        <f>IF('DATA INPUT'!B30="T. ser",0.1656*'DATA INPUT'!D30^1.4655,IF('DATA INPUT'!B30="S. mel",135.53*'DATA INPUT'!D30^3.8701/1000,IF('DATA INPUT'!B30="V. ref",143.01*'DATA INPUT'!D30^3.3147/1000,IF('DATA INPUT'!B30=1,143.35*'DATA INPUT'!D30^3.6046/1000,IF('DATA INPUT'!B30=2,0.1656*'DATA INPUT'!D30^1.4655,FALSE)))))</f>
        <v>0</v>
      </c>
      <c r="C26" s="8" t="b">
        <f>IF('DATA INPUT'!B30="T. ser",0.3356*'DATA INPUT'!E30^0.9984,IF('DATA INPUT'!B30="S. mel",24.906*'DATA INPUT'!E30^4.7681/1000,IF('DATA INPUT'!B30="V. ref",118.45*'DATA INPUT'!E30^3.5959/1000,IF('DATA INPUT'!B30=1,55.075*'DATA INPUT'!E30^4.0991/1000,IF('DATA INPUT'!B30=2,0.3356*'DATA INPUT'!E30^0.9984,FALSE)))))</f>
        <v>0</v>
      </c>
      <c r="D26" s="18" t="b">
        <f>IF('DATA INPUT'!B30="T. ser",0.0615*('DATA INPUT'!F30*'DATA INPUT'!G30)^0.9573,IF('DATA INPUT'!B30="S. mel",46.162*('DATA INPUT'!F30*'DATA INPUT'!G30)^2.3652/1000,IF('DATA INPUT'!B30="V. ref",90.34*('DATA INPUT'!F30*'DATA INPUT'!G30)^1.9756/1000,IF('DATA INPUT'!B30=1,63.022*('DATA INPUT'!F30*'DATA INPUT'!G30)^2.1551/1000,IF('DATA INPUT'!B30=2,0.0615*('DATA INPUT'!F30*'DATA INPUT'!G30)^0.9573,FALSE)))))</f>
        <v>0</v>
      </c>
      <c r="E26" s="8" t="b">
        <f>IF('DATA INPUT'!B30="T. ser",5.0562*('DATA INPUT'!H30*'DATA INPUT'!I30)^0.9574,IF('DATA INPUT'!B30="S. mel",44047*('DATA INPUT'!H30*'DATA INPUT'!I30)^1.5456/1000,IF('DATA INPUT'!B30="V. ref",91930*('DATA INPUT'!H30*'DATA INPUT'!I30)^1.7774/1000,IF('DATA INPUT'!B30=1,62601*('DATA INPUT'!H30*'DATA INPUT'!I30)^1.6463/1000,IF('DATA INPUT'!B30=2,5.0562*('DATA INPUT'!H30*'DATA INPUT'!I30)^0.9574,FALSE)))))</f>
        <v>0</v>
      </c>
      <c r="F26" s="18" t="b">
        <f>IF('DATA INPUT'!B30="T. ser",0.0009*I26^0.4477,IF('DATA INPUT'!B30="S. mel",0.0000004*I26^1.4912/1000,IF('DATA INPUT'!B30="V. ref",0.00000005*I26^1.6284/1000,IF('DATA INPUT'!B30=1,0.0000007*I26^1.4601/1000,IF('DATA INPUT'!B30=2,0.0009*I26^0.4477,FALSE)))))</f>
        <v>0</v>
      </c>
      <c r="G26" s="57">
        <f t="shared" si="0"/>
        <v>0</v>
      </c>
      <c r="H26" s="57"/>
      <c r="I26" s="2" t="b">
        <f>IF('DATA INPUT'!B30="T. ser",3.142*'DATA INPUT'!N30^2*'DATA INPUT'!O30/3+3.142*'DATA INPUT'!P30^2/3*(3*'DATA INPUT'!N30-'DATA INPUT'!P30),IF('DATA INPUT'!B30="S. mel",3.142*'DATA INPUT'!N30^2*'DATA INPUT'!O30/3+3.142*'DATA INPUT'!P30^2/3*(3*'DATA INPUT'!N30-'DATA INPUT'!P30),IF('DATA INPUT'!B30="V. ref",3.142*'DATA INPUT'!N30^2*'DATA INPUT'!O30/3+3.142*'DATA INPUT'!P30^2/3*(3*'DATA INPUT'!N30-'DATA INPUT'!P30),IF('DATA INPUT'!B30=1,3.142*'DATA INPUT'!N30^2*'DATA INPUT'!O30/3+3.142*'DATA INPUT'!P30^2/3*(3*'DATA INPUT'!N30-'DATA INPUT'!P30),IF('DATA INPUT'!B30=2,3.142*'DATA INPUT'!N30^2*'DATA INPUT'!O30/3+3.142*'DATA INPUT'!P30^2/3*(3*'DATA INPUT'!N30-'DATA INPUT'!P30),FALSE)))))</f>
        <v>0</v>
      </c>
      <c r="J26" s="2" t="b">
        <f>IF('DATA INPUT'!B30="T. ser",0.0458*CALCULATIONS!I26^0.6841,IF('DATA INPUT'!B30="S. mel",0.6047*CALCULATIONS!I26^0.6433,IF('DATA INPUT'!B30="V. ref",0.77086*CALCULATIONS!I26^0.4936,IF('DATA INPUT'!B30=1,0.68778*CALCULATIONS!I26^0.56845,IF('DATA INPUT'!B30=2,0.0458*CALCULATIONS!I26^0.6841,FALSE)))))</f>
        <v>0</v>
      </c>
      <c r="K26" s="3">
        <f t="shared" si="1"/>
        <v>0</v>
      </c>
      <c r="L26" s="3" t="b">
        <f>IF('DATA INPUT'!B30="T. ser",('DATA INPUT'!D30+'DATA INPUT'!F30+'DATA INPUT'!H30+'DATA INPUT'!J30)/1.5,IF('DATA INPUT'!B30="V. ref",('DATA INPUT'!D30+'DATA INPUT'!F30+'DATA INPUT'!H30+'DATA INPUT'!J30)/1.5,IF('DATA INPUT'!B30="S. mel",('DATA INPUT'!D30+'DATA INPUT'!F30+'DATA INPUT'!H30+'DATA INPUT'!J30)/1.5,IF('DATA INPUT'!B30=1,('DATA INPUT'!D30+'DATA INPUT'!F30+'DATA INPUT'!H30+'DATA INPUT'!J30)/1.5,IF('DATA INPUT'!B30=2,('DATA INPUT'!D30+'DATA INPUT'!F30+'DATA INPUT'!H30+'DATA INPUT'!J30)/1.5,FALSE)))))</f>
        <v>0</v>
      </c>
      <c r="N26" s="16">
        <f>'DATA INPUT'!C30</f>
        <v>0</v>
      </c>
      <c r="O26" s="3" t="b">
        <f>IF('DATA INPUT'!B30="T. ser",0.3446*'DATA INPUT'!D30^1.0619,IF('DATA INPUT'!B30="S. mel",(1270.6*'DATA INPUT'!D30^2.0933)/1000,IF('DATA INPUT'!B30="V. ref",(816.25*'DATA INPUT'!D30^2.1754)/1000,IF('DATA INPUT'!B30=1,(1492.4*'DATA INPUT'!D30^1.7591)/1000,IF('DATA INPUT'!B30=2,0.3446*'DATA INPUT'!D30^1.0619,FALSE)))))</f>
        <v>0</v>
      </c>
      <c r="P26" s="3" t="b">
        <f>IF('DATA INPUT'!B30="T. ser",0.3662*'DATA INPUT'!E30^1.5061,IF('DATA INPUT'!B30="S. mel",(748.47*'DATA INPUT'!E30^2.2691)/1000,IF('DATA INPUT'!B30="V. ref",(953.69*'DATA INPUT'!E30^1.9524)/1000,IF('DATA INPUT'!B30=1,(695.02*'DATA INPUT'!E30^2.3452)/1000,IF('DATA INPUT'!B30=2,0.3662*'DATA INPUT'!E30^1.5061,FALSE)))))</f>
        <v>0</v>
      </c>
      <c r="Q26" s="3" t="b">
        <f>IF('DATA INPUT'!B30="T. ser",0.1225*('DATA INPUT'!F30*'DATA INPUT'!G30)^0.8272,IF('DATA INPUT'!B30="S. mel",(925.08*('DATA INPUT'!F30*'DATA INPUT'!G30)^1.1603)/1000,IF('DATA INPUT'!B30="V. ref",(776.29*('DATA INPUT'!F30*'DATA INPUT'!G30)^1.1226)/1000,IF('DATA INPUT'!B30=1,(884.6*('DATA INPUT'!F30*'DATA INPUT'!G30)^1.129)/1000,IF('DATA INPUT'!B30=2,0.1225*('DATA INPUT'!F30*'DATA INPUT'!G30)^0.8272,FALSE)))))</f>
        <v>0</v>
      </c>
      <c r="R26" s="3" t="b">
        <f>IF('DATA INPUT'!B30="T. ser",5.5287*('DATA INPUT'!H30*'DATA INPUT'!I30)^0.8272,IF('DATA INPUT'!B30="S. mel",(31469*('DATA INPUT'!H30*'DATA INPUT'!I30)^0.8608)/1000,IF('DATA INPUT'!B30="V. ref",(39394*('DATA INPUT'!H30*'DATA INPUT'!I30)^1.005)/1000,IF('DATA INPUT'!B30=1,(31791*('DATA INPUT'!H30*'DATA INPUT'!I30)^0.8467)/1000,IF('DATA INPUT'!B30=2,5.5287*('DATA INPUT'!H30*'DATA INPUT'!I30)^0.8272,FALSE)))))</f>
        <v>0</v>
      </c>
      <c r="S26" s="3" t="b">
        <f>IF('DATA INPUT'!B30="T. ser",0.0005*I26^0.5148,IF('DATA INPUT'!B30="S. mel",0.051*I26^0.7789/1000,IF('DATA INPUT'!B30="V. ref",0.0958*I26^0.7253/1000,IF('DATA INPUT'!B30=1,0.0426*I26^0.786/1000,IF('DATA INPUT'!B30=2,0.0005*I26^0.5148,FALSE)))))</f>
        <v>0</v>
      </c>
      <c r="T26" s="59">
        <f t="shared" si="2"/>
        <v>0</v>
      </c>
      <c r="AB26">
        <f>'DATA INPUT'!Q30</f>
        <v>0</v>
      </c>
      <c r="AC26" s="2">
        <f>COUNTIF('DATA INPUT'!$C$7:$C$156,'DATA INPUT'!Q30)</f>
        <v>0</v>
      </c>
      <c r="AD26" s="2" t="e">
        <f>AC26*10000/RESULTS_REPORT!$C$18</f>
        <v>#DIV/0!</v>
      </c>
      <c r="AE26" s="2">
        <f t="shared" si="3"/>
        <v>0</v>
      </c>
      <c r="AF26" s="2" t="e">
        <f>AE26*10000/RESULTS_REPORT!$C$18</f>
        <v>#DIV/0!</v>
      </c>
      <c r="AG26" s="2">
        <f t="shared" si="4"/>
        <v>0</v>
      </c>
      <c r="AH26" s="2" t="e">
        <f>AG26*10000/RESULTS_REPORT!$C$18</f>
        <v>#DIV/0!</v>
      </c>
      <c r="AJ26" s="3">
        <f t="shared" si="5"/>
        <v>0</v>
      </c>
      <c r="AK26" s="2" t="e">
        <f>AJ26*10000/RESULTS_REPORT!$C$18</f>
        <v>#DIV/0!</v>
      </c>
      <c r="AL26" s="2">
        <f t="shared" si="6"/>
        <v>0</v>
      </c>
      <c r="AM26" s="3" t="e">
        <f>AL26*10000/RESULTS_REPORT!$C$18</f>
        <v>#DIV/0!</v>
      </c>
      <c r="AN26" s="3"/>
    </row>
    <row r="27" spans="1:40" x14ac:dyDescent="0.2">
      <c r="A27" s="16">
        <f>'DATA INPUT'!C31</f>
        <v>0</v>
      </c>
      <c r="B27" s="11" t="b">
        <f>IF('DATA INPUT'!B31="T. ser",0.1656*'DATA INPUT'!D31^1.4655,IF('DATA INPUT'!B31="S. mel",135.53*'DATA INPUT'!D31^3.8701/1000,IF('DATA INPUT'!B31="V. ref",143.01*'DATA INPUT'!D31^3.3147/1000,IF('DATA INPUT'!B31=1,143.35*'DATA INPUT'!D31^3.6046/1000,IF('DATA INPUT'!B31=2,0.1656*'DATA INPUT'!D31^1.4655,FALSE)))))</f>
        <v>0</v>
      </c>
      <c r="C27" s="8" t="b">
        <f>IF('DATA INPUT'!B31="T. ser",0.3356*'DATA INPUT'!E31^0.9984,IF('DATA INPUT'!B31="S. mel",24.906*'DATA INPUT'!E31^4.7681/1000,IF('DATA INPUT'!B31="V. ref",118.45*'DATA INPUT'!E31^3.5959/1000,IF('DATA INPUT'!B31=1,55.075*'DATA INPUT'!E31^4.0991/1000,IF('DATA INPUT'!B31=2,0.3356*'DATA INPUT'!E31^0.9984,FALSE)))))</f>
        <v>0</v>
      </c>
      <c r="D27" s="18" t="b">
        <f>IF('DATA INPUT'!B31="T. ser",0.0615*('DATA INPUT'!F31*'DATA INPUT'!G31)^0.9573,IF('DATA INPUT'!B31="S. mel",46.162*('DATA INPUT'!F31*'DATA INPUT'!G31)^2.3652/1000,IF('DATA INPUT'!B31="V. ref",90.34*('DATA INPUT'!F31*'DATA INPUT'!G31)^1.9756/1000,IF('DATA INPUT'!B31=1,63.022*('DATA INPUT'!F31*'DATA INPUT'!G31)^2.1551/1000,IF('DATA INPUT'!B31=2,0.0615*('DATA INPUT'!F31*'DATA INPUT'!G31)^0.9573,FALSE)))))</f>
        <v>0</v>
      </c>
      <c r="E27" s="8" t="b">
        <f>IF('DATA INPUT'!B31="T. ser",5.0562*('DATA INPUT'!H31*'DATA INPUT'!I31)^0.9574,IF('DATA INPUT'!B31="S. mel",44047*('DATA INPUT'!H31*'DATA INPUT'!I31)^1.5456/1000,IF('DATA INPUT'!B31="V. ref",91930*('DATA INPUT'!H31*'DATA INPUT'!I31)^1.7774/1000,IF('DATA INPUT'!B31=1,62601*('DATA INPUT'!H31*'DATA INPUT'!I31)^1.6463/1000,IF('DATA INPUT'!B31=2,5.0562*('DATA INPUT'!H31*'DATA INPUT'!I31)^0.9574,FALSE)))))</f>
        <v>0</v>
      </c>
      <c r="F27" s="18" t="b">
        <f>IF('DATA INPUT'!B31="T. ser",0.0009*I27^0.4477,IF('DATA INPUT'!B31="S. mel",0.0000004*I27^1.4912/1000,IF('DATA INPUT'!B31="V. ref",0.00000005*I27^1.6284/1000,IF('DATA INPUT'!B31=1,0.0000007*I27^1.4601/1000,IF('DATA INPUT'!B31=2,0.0009*I27^0.4477,FALSE)))))</f>
        <v>0</v>
      </c>
      <c r="G27" s="57">
        <f t="shared" si="0"/>
        <v>0</v>
      </c>
      <c r="H27" s="57"/>
      <c r="I27" s="2" t="b">
        <f>IF('DATA INPUT'!B31="T. ser",3.142*'DATA INPUT'!N31^2*'DATA INPUT'!O31/3+3.142*'DATA INPUT'!P31^2/3*(3*'DATA INPUT'!N31-'DATA INPUT'!P31),IF('DATA INPUT'!B31="S. mel",3.142*'DATA INPUT'!N31^2*'DATA INPUT'!O31/3+3.142*'DATA INPUT'!P31^2/3*(3*'DATA INPUT'!N31-'DATA INPUT'!P31),IF('DATA INPUT'!B31="V. ref",3.142*'DATA INPUT'!N31^2*'DATA INPUT'!O31/3+3.142*'DATA INPUT'!P31^2/3*(3*'DATA INPUT'!N31-'DATA INPUT'!P31),IF('DATA INPUT'!B31=1,3.142*'DATA INPUT'!N31^2*'DATA INPUT'!O31/3+3.142*'DATA INPUT'!P31^2/3*(3*'DATA INPUT'!N31-'DATA INPUT'!P31),IF('DATA INPUT'!B31=2,3.142*'DATA INPUT'!N31^2*'DATA INPUT'!O31/3+3.142*'DATA INPUT'!P31^2/3*(3*'DATA INPUT'!N31-'DATA INPUT'!P31),FALSE)))))</f>
        <v>0</v>
      </c>
      <c r="J27" s="2" t="b">
        <f>IF('DATA INPUT'!B31="T. ser",0.0458*CALCULATIONS!I27^0.6841,IF('DATA INPUT'!B31="S. mel",0.6047*CALCULATIONS!I27^0.6433,IF('DATA INPUT'!B31="V. ref",0.77086*CALCULATIONS!I27^0.4936,IF('DATA INPUT'!B31=1,0.68778*CALCULATIONS!I27^0.56845,IF('DATA INPUT'!B31=2,0.0458*CALCULATIONS!I27^0.6841,FALSE)))))</f>
        <v>0</v>
      </c>
      <c r="K27" s="3">
        <f t="shared" si="1"/>
        <v>0</v>
      </c>
      <c r="L27" s="3" t="b">
        <f>IF('DATA INPUT'!B31="T. ser",('DATA INPUT'!D31+'DATA INPUT'!F31+'DATA INPUT'!H31+'DATA INPUT'!J31)/1.5,IF('DATA INPUT'!B31="V. ref",('DATA INPUT'!D31+'DATA INPUT'!F31+'DATA INPUT'!H31+'DATA INPUT'!J31)/1.5,IF('DATA INPUT'!B31="S. mel",('DATA INPUT'!D31+'DATA INPUT'!F31+'DATA INPUT'!H31+'DATA INPUT'!J31)/1.5,IF('DATA INPUT'!B31=1,('DATA INPUT'!D31+'DATA INPUT'!F31+'DATA INPUT'!H31+'DATA INPUT'!J31)/1.5,IF('DATA INPUT'!B31=2,('DATA INPUT'!D31+'DATA INPUT'!F31+'DATA INPUT'!H31+'DATA INPUT'!J31)/1.5,FALSE)))))</f>
        <v>0</v>
      </c>
      <c r="N27" s="16">
        <f>'DATA INPUT'!C31</f>
        <v>0</v>
      </c>
      <c r="O27" s="3" t="b">
        <f>IF('DATA INPUT'!B31="T. ser",0.3446*'DATA INPUT'!D31^1.0619,IF('DATA INPUT'!B31="S. mel",(1270.6*'DATA INPUT'!D31^2.0933)/1000,IF('DATA INPUT'!B31="V. ref",(816.25*'DATA INPUT'!D31^2.1754)/1000,IF('DATA INPUT'!B31=1,(1492.4*'DATA INPUT'!D31^1.7591)/1000,IF('DATA INPUT'!B31=2,0.3446*'DATA INPUT'!D31^1.0619,FALSE)))))</f>
        <v>0</v>
      </c>
      <c r="P27" s="3" t="b">
        <f>IF('DATA INPUT'!B31="T. ser",0.3662*'DATA INPUT'!E31^1.5061,IF('DATA INPUT'!B31="S. mel",(748.47*'DATA INPUT'!E31^2.2691)/1000,IF('DATA INPUT'!B31="V. ref",(953.69*'DATA INPUT'!E31^1.9524)/1000,IF('DATA INPUT'!B31=1,(695.02*'DATA INPUT'!E31^2.3452)/1000,IF('DATA INPUT'!B31=2,0.3662*'DATA INPUT'!E31^1.5061,FALSE)))))</f>
        <v>0</v>
      </c>
      <c r="Q27" s="3" t="b">
        <f>IF('DATA INPUT'!B31="T. ser",0.1225*('DATA INPUT'!F31*'DATA INPUT'!G31)^0.8272,IF('DATA INPUT'!B31="S. mel",(925.08*('DATA INPUT'!F31*'DATA INPUT'!G31)^1.1603)/1000,IF('DATA INPUT'!B31="V. ref",(776.29*('DATA INPUT'!F31*'DATA INPUT'!G31)^1.1226)/1000,IF('DATA INPUT'!B31=1,(884.6*('DATA INPUT'!F31*'DATA INPUT'!G31)^1.129)/1000,IF('DATA INPUT'!B31=2,0.1225*('DATA INPUT'!F31*'DATA INPUT'!G31)^0.8272,FALSE)))))</f>
        <v>0</v>
      </c>
      <c r="R27" s="3" t="b">
        <f>IF('DATA INPUT'!B31="T. ser",5.5287*('DATA INPUT'!H31*'DATA INPUT'!I31)^0.8272,IF('DATA INPUT'!B31="S. mel",(31469*('DATA INPUT'!H31*'DATA INPUT'!I31)^0.8608)/1000,IF('DATA INPUT'!B31="V. ref",(39394*('DATA INPUT'!H31*'DATA INPUT'!I31)^1.005)/1000,IF('DATA INPUT'!B31=1,(31791*('DATA INPUT'!H31*'DATA INPUT'!I31)^0.8467)/1000,IF('DATA INPUT'!B31=2,5.5287*('DATA INPUT'!H31*'DATA INPUT'!I31)^0.8272,FALSE)))))</f>
        <v>0</v>
      </c>
      <c r="S27" s="3" t="b">
        <f>IF('DATA INPUT'!B31="T. ser",0.0005*I27^0.5148,IF('DATA INPUT'!B31="S. mel",0.051*I27^0.7789/1000,IF('DATA INPUT'!B31="V. ref",0.0958*I27^0.7253/1000,IF('DATA INPUT'!B31=1,0.0426*I27^0.786/1000,IF('DATA INPUT'!B31=2,0.0005*I27^0.5148,FALSE)))))</f>
        <v>0</v>
      </c>
      <c r="T27" s="59">
        <f t="shared" si="2"/>
        <v>0</v>
      </c>
      <c r="AB27" s="1">
        <f>'DATA INPUT'!Q31</f>
        <v>0</v>
      </c>
      <c r="AC27" s="2">
        <f>COUNTIF('DATA INPUT'!$C$7:$C$156,'DATA INPUT'!Q31)</f>
        <v>0</v>
      </c>
      <c r="AD27" s="2" t="e">
        <f>AC27*10000/RESULTS_REPORT!$C$18</f>
        <v>#DIV/0!</v>
      </c>
      <c r="AE27" s="2">
        <f t="shared" si="3"/>
        <v>0</v>
      </c>
      <c r="AF27" s="2" t="e">
        <f>AE27*10000/RESULTS_REPORT!$C$18</f>
        <v>#DIV/0!</v>
      </c>
      <c r="AG27" s="2">
        <f t="shared" si="4"/>
        <v>0</v>
      </c>
      <c r="AH27" s="2" t="e">
        <f>AG27*10000/RESULTS_REPORT!$C$18</f>
        <v>#DIV/0!</v>
      </c>
      <c r="AJ27" s="3">
        <f t="shared" si="5"/>
        <v>0</v>
      </c>
      <c r="AK27" s="2" t="e">
        <f>AJ27*10000/RESULTS_REPORT!$C$18</f>
        <v>#DIV/0!</v>
      </c>
      <c r="AL27" s="2">
        <f t="shared" si="6"/>
        <v>0</v>
      </c>
      <c r="AM27" s="3" t="e">
        <f>AL27*10000/RESULTS_REPORT!$C$18</f>
        <v>#DIV/0!</v>
      </c>
      <c r="AN27" s="3"/>
    </row>
    <row r="28" spans="1:40" x14ac:dyDescent="0.2">
      <c r="A28" s="16">
        <f>'DATA INPUT'!C32</f>
        <v>0</v>
      </c>
      <c r="B28" s="11" t="b">
        <f>IF('DATA INPUT'!B32="T. ser",0.1656*'DATA INPUT'!D32^1.4655,IF('DATA INPUT'!B32="S. mel",135.53*'DATA INPUT'!D32^3.8701/1000,IF('DATA INPUT'!B32="V. ref",143.01*'DATA INPUT'!D32^3.3147/1000,IF('DATA INPUT'!B32=1,143.35*'DATA INPUT'!D32^3.6046/1000,IF('DATA INPUT'!B32=2,0.1656*'DATA INPUT'!D32^1.4655,FALSE)))))</f>
        <v>0</v>
      </c>
      <c r="C28" s="8" t="b">
        <f>IF('DATA INPUT'!B32="T. ser",0.3356*'DATA INPUT'!E32^0.9984,IF('DATA INPUT'!B32="S. mel",24.906*'DATA INPUT'!E32^4.7681/1000,IF('DATA INPUT'!B32="V. ref",118.45*'DATA INPUT'!E32^3.5959/1000,IF('DATA INPUT'!B32=1,55.075*'DATA INPUT'!E32^4.0991/1000,IF('DATA INPUT'!B32=2,0.3356*'DATA INPUT'!E32^0.9984,FALSE)))))</f>
        <v>0</v>
      </c>
      <c r="D28" s="18" t="b">
        <f>IF('DATA INPUT'!B32="T. ser",0.0615*('DATA INPUT'!F32*'DATA INPUT'!G32)^0.9573,IF('DATA INPUT'!B32="S. mel",46.162*('DATA INPUT'!F32*'DATA INPUT'!G32)^2.3652/1000,IF('DATA INPUT'!B32="V. ref",90.34*('DATA INPUT'!F32*'DATA INPUT'!G32)^1.9756/1000,IF('DATA INPUT'!B32=1,63.022*('DATA INPUT'!F32*'DATA INPUT'!G32)^2.1551/1000,IF('DATA INPUT'!B32=2,0.0615*('DATA INPUT'!F32*'DATA INPUT'!G32)^0.9573,FALSE)))))</f>
        <v>0</v>
      </c>
      <c r="E28" s="8" t="b">
        <f>IF('DATA INPUT'!B32="T. ser",5.0562*('DATA INPUT'!H32*'DATA INPUT'!I32)^0.9574,IF('DATA INPUT'!B32="S. mel",44047*('DATA INPUT'!H32*'DATA INPUT'!I32)^1.5456/1000,IF('DATA INPUT'!B32="V. ref",91930*('DATA INPUT'!H32*'DATA INPUT'!I32)^1.7774/1000,IF('DATA INPUT'!B32=1,62601*('DATA INPUT'!H32*'DATA INPUT'!I32)^1.6463/1000,IF('DATA INPUT'!B32=2,5.0562*('DATA INPUT'!H32*'DATA INPUT'!I32)^0.9574,FALSE)))))</f>
        <v>0</v>
      </c>
      <c r="F28" s="18" t="b">
        <f>IF('DATA INPUT'!B32="T. ser",0.0009*I28^0.4477,IF('DATA INPUT'!B32="S. mel",0.0000004*I28^1.4912/1000,IF('DATA INPUT'!B32="V. ref",0.00000005*I28^1.6284/1000,IF('DATA INPUT'!B32=1,0.0000007*I28^1.4601/1000,IF('DATA INPUT'!B32=2,0.0009*I28^0.4477,FALSE)))))</f>
        <v>0</v>
      </c>
      <c r="G28" s="57">
        <f t="shared" si="0"/>
        <v>0</v>
      </c>
      <c r="H28" s="57"/>
      <c r="I28" s="2" t="b">
        <f>IF('DATA INPUT'!B32="T. ser",3.142*'DATA INPUT'!N32^2*'DATA INPUT'!O32/3+3.142*'DATA INPUT'!P32^2/3*(3*'DATA INPUT'!N32-'DATA INPUT'!P32),IF('DATA INPUT'!B32="S. mel",3.142*'DATA INPUT'!N32^2*'DATA INPUT'!O32/3+3.142*'DATA INPUT'!P32^2/3*(3*'DATA INPUT'!N32-'DATA INPUT'!P32),IF('DATA INPUT'!B32="V. ref",3.142*'DATA INPUT'!N32^2*'DATA INPUT'!O32/3+3.142*'DATA INPUT'!P32^2/3*(3*'DATA INPUT'!N32-'DATA INPUT'!P32),IF('DATA INPUT'!B32=1,3.142*'DATA INPUT'!N32^2*'DATA INPUT'!O32/3+3.142*'DATA INPUT'!P32^2/3*(3*'DATA INPUT'!N32-'DATA INPUT'!P32),IF('DATA INPUT'!B32=2,3.142*'DATA INPUT'!N32^2*'DATA INPUT'!O32/3+3.142*'DATA INPUT'!P32^2/3*(3*'DATA INPUT'!N32-'DATA INPUT'!P32),FALSE)))))</f>
        <v>0</v>
      </c>
      <c r="J28" s="2" t="b">
        <f>IF('DATA INPUT'!B32="T. ser",0.0458*CALCULATIONS!I28^0.6841,IF('DATA INPUT'!B32="S. mel",0.6047*CALCULATIONS!I28^0.6433,IF('DATA INPUT'!B32="V. ref",0.77086*CALCULATIONS!I28^0.4936,IF('DATA INPUT'!B32=1,0.68778*CALCULATIONS!I28^0.56845,IF('DATA INPUT'!B32=2,0.0458*CALCULATIONS!I28^0.6841,FALSE)))))</f>
        <v>0</v>
      </c>
      <c r="K28" s="3">
        <f t="shared" si="1"/>
        <v>0</v>
      </c>
      <c r="L28" s="3" t="b">
        <f>IF('DATA INPUT'!B32="T. ser",('DATA INPUT'!D32+'DATA INPUT'!F32+'DATA INPUT'!H32+'DATA INPUT'!J32)/1.5,IF('DATA INPUT'!B32="V. ref",('DATA INPUT'!D32+'DATA INPUT'!F32+'DATA INPUT'!H32+'DATA INPUT'!J32)/1.5,IF('DATA INPUT'!B32="S. mel",('DATA INPUT'!D32+'DATA INPUT'!F32+'DATA INPUT'!H32+'DATA INPUT'!J32)/1.5,IF('DATA INPUT'!B32=1,('DATA INPUT'!D32+'DATA INPUT'!F32+'DATA INPUT'!H32+'DATA INPUT'!J32)/1.5,IF('DATA INPUT'!B32=2,('DATA INPUT'!D32+'DATA INPUT'!F32+'DATA INPUT'!H32+'DATA INPUT'!J32)/1.5,FALSE)))))</f>
        <v>0</v>
      </c>
      <c r="N28" s="16">
        <f>'DATA INPUT'!C32</f>
        <v>0</v>
      </c>
      <c r="O28" s="3" t="b">
        <f>IF('DATA INPUT'!B32="T. ser",0.3446*'DATA INPUT'!D32^1.0619,IF('DATA INPUT'!B32="S. mel",(1270.6*'DATA INPUT'!D32^2.0933)/1000,IF('DATA INPUT'!B32="V. ref",(816.25*'DATA INPUT'!D32^2.1754)/1000,IF('DATA INPUT'!B32=1,(1492.4*'DATA INPUT'!D32^1.7591)/1000,IF('DATA INPUT'!B32=2,0.3446*'DATA INPUT'!D32^1.0619,FALSE)))))</f>
        <v>0</v>
      </c>
      <c r="P28" s="3" t="b">
        <f>IF('DATA INPUT'!B32="T. ser",0.3662*'DATA INPUT'!E32^1.5061,IF('DATA INPUT'!B32="S. mel",(748.47*'DATA INPUT'!E32^2.2691)/1000,IF('DATA INPUT'!B32="V. ref",(953.69*'DATA INPUT'!E32^1.9524)/1000,IF('DATA INPUT'!B32=1,(695.02*'DATA INPUT'!E32^2.3452)/1000,IF('DATA INPUT'!B32=2,0.3662*'DATA INPUT'!E32^1.5061,FALSE)))))</f>
        <v>0</v>
      </c>
      <c r="Q28" s="3" t="b">
        <f>IF('DATA INPUT'!B32="T. ser",0.1225*('DATA INPUT'!F32*'DATA INPUT'!G32)^0.8272,IF('DATA INPUT'!B32="S. mel",(925.08*('DATA INPUT'!F32*'DATA INPUT'!G32)^1.1603)/1000,IF('DATA INPUT'!B32="V. ref",(776.29*('DATA INPUT'!F32*'DATA INPUT'!G32)^1.1226)/1000,IF('DATA INPUT'!B32=1,(884.6*('DATA INPUT'!F32*'DATA INPUT'!G32)^1.129)/1000,IF('DATA INPUT'!B32=2,0.1225*('DATA INPUT'!F32*'DATA INPUT'!G32)^0.8272,FALSE)))))</f>
        <v>0</v>
      </c>
      <c r="R28" s="3" t="b">
        <f>IF('DATA INPUT'!B32="T. ser",5.5287*('DATA INPUT'!H32*'DATA INPUT'!I32)^0.8272,IF('DATA INPUT'!B32="S. mel",(31469*('DATA INPUT'!H32*'DATA INPUT'!I32)^0.8608)/1000,IF('DATA INPUT'!B32="V. ref",(39394*('DATA INPUT'!H32*'DATA INPUT'!I32)^1.005)/1000,IF('DATA INPUT'!B32=1,(31791*('DATA INPUT'!H32*'DATA INPUT'!I32)^0.8467)/1000,IF('DATA INPUT'!B32=2,5.5287*('DATA INPUT'!H32*'DATA INPUT'!I32)^0.8272,FALSE)))))</f>
        <v>0</v>
      </c>
      <c r="S28" s="3" t="b">
        <f>IF('DATA INPUT'!B32="T. ser",0.0005*I28^0.5148,IF('DATA INPUT'!B32="S. mel",0.051*I28^0.7789/1000,IF('DATA INPUT'!B32="V. ref",0.0958*I28^0.7253/1000,IF('DATA INPUT'!B32=1,0.0426*I28^0.786/1000,IF('DATA INPUT'!B32=2,0.0005*I28^0.5148,FALSE)))))</f>
        <v>0</v>
      </c>
      <c r="T28" s="59">
        <f t="shared" si="2"/>
        <v>0</v>
      </c>
      <c r="AB28">
        <f>'DATA INPUT'!Q32</f>
        <v>0</v>
      </c>
      <c r="AC28" s="2">
        <f>COUNTIF('DATA INPUT'!$C$7:$C$156,'DATA INPUT'!Q32)</f>
        <v>0</v>
      </c>
      <c r="AD28" s="2" t="e">
        <f>AC28*10000/RESULTS_REPORT!$C$18</f>
        <v>#DIV/0!</v>
      </c>
      <c r="AE28" s="2">
        <f t="shared" si="3"/>
        <v>0</v>
      </c>
      <c r="AF28" s="2" t="e">
        <f>AE28*10000/RESULTS_REPORT!$C$18</f>
        <v>#DIV/0!</v>
      </c>
      <c r="AG28" s="2">
        <f t="shared" si="4"/>
        <v>0</v>
      </c>
      <c r="AH28" s="2" t="e">
        <f>AG28*10000/RESULTS_REPORT!$C$18</f>
        <v>#DIV/0!</v>
      </c>
      <c r="AJ28" s="3">
        <f t="shared" si="5"/>
        <v>0</v>
      </c>
      <c r="AK28" s="2" t="e">
        <f>AJ28*10000/RESULTS_REPORT!$C$18</f>
        <v>#DIV/0!</v>
      </c>
      <c r="AL28" s="2">
        <f t="shared" si="6"/>
        <v>0</v>
      </c>
      <c r="AM28" s="3" t="e">
        <f>AL28*10000/RESULTS_REPORT!$C$18</f>
        <v>#DIV/0!</v>
      </c>
      <c r="AN28" s="3"/>
    </row>
    <row r="29" spans="1:40" x14ac:dyDescent="0.2">
      <c r="A29" s="16">
        <f>'DATA INPUT'!C33</f>
        <v>0</v>
      </c>
      <c r="B29" s="11" t="b">
        <f>IF('DATA INPUT'!B33="T. ser",0.1656*'DATA INPUT'!D33^1.4655,IF('DATA INPUT'!B33="S. mel",135.53*'DATA INPUT'!D33^3.8701/1000,IF('DATA INPUT'!B33="V. ref",143.01*'DATA INPUT'!D33^3.3147/1000,IF('DATA INPUT'!B33=1,143.35*'DATA INPUT'!D33^3.6046/1000,IF('DATA INPUT'!B33=2,0.1656*'DATA INPUT'!D33^1.4655,FALSE)))))</f>
        <v>0</v>
      </c>
      <c r="C29" s="8" t="b">
        <f>IF('DATA INPUT'!B33="T. ser",0.3356*'DATA INPUT'!E33^0.9984,IF('DATA INPUT'!B33="S. mel",24.906*'DATA INPUT'!E33^4.7681/1000,IF('DATA INPUT'!B33="V. ref",118.45*'DATA INPUT'!E33^3.5959/1000,IF('DATA INPUT'!B33=1,55.075*'DATA INPUT'!E33^4.0991/1000,IF('DATA INPUT'!B33=2,0.3356*'DATA INPUT'!E33^0.9984,FALSE)))))</f>
        <v>0</v>
      </c>
      <c r="D29" s="18" t="b">
        <f>IF('DATA INPUT'!B33="T. ser",0.0615*('DATA INPUT'!F33*'DATA INPUT'!G33)^0.9573,IF('DATA INPUT'!B33="S. mel",46.162*('DATA INPUT'!F33*'DATA INPUT'!G33)^2.3652/1000,IF('DATA INPUT'!B33="V. ref",90.34*('DATA INPUT'!F33*'DATA INPUT'!G33)^1.9756/1000,IF('DATA INPUT'!B33=1,63.022*('DATA INPUT'!F33*'DATA INPUT'!G33)^2.1551/1000,IF('DATA INPUT'!B33=2,0.0615*('DATA INPUT'!F33*'DATA INPUT'!G33)^0.9573,FALSE)))))</f>
        <v>0</v>
      </c>
      <c r="E29" s="8" t="b">
        <f>IF('DATA INPUT'!B33="T. ser",5.0562*('DATA INPUT'!H33*'DATA INPUT'!I33)^0.9574,IF('DATA INPUT'!B33="S. mel",44047*('DATA INPUT'!H33*'DATA INPUT'!I33)^1.5456/1000,IF('DATA INPUT'!B33="V. ref",91930*('DATA INPUT'!H33*'DATA INPUT'!I33)^1.7774/1000,IF('DATA INPUT'!B33=1,62601*('DATA INPUT'!H33*'DATA INPUT'!I33)^1.6463/1000,IF('DATA INPUT'!B33=2,5.0562*('DATA INPUT'!H33*'DATA INPUT'!I33)^0.9574,FALSE)))))</f>
        <v>0</v>
      </c>
      <c r="F29" s="18" t="b">
        <f>IF('DATA INPUT'!B33="T. ser",0.0009*I29^0.4477,IF('DATA INPUT'!B33="S. mel",0.0000004*I29^1.4912/1000,IF('DATA INPUT'!B33="V. ref",0.00000005*I29^1.6284/1000,IF('DATA INPUT'!B33=1,0.0000007*I29^1.4601/1000,IF('DATA INPUT'!B33=2,0.0009*I29^0.4477,FALSE)))))</f>
        <v>0</v>
      </c>
      <c r="G29" s="57">
        <f t="shared" si="0"/>
        <v>0</v>
      </c>
      <c r="H29" s="57"/>
      <c r="I29" s="2" t="b">
        <f>IF('DATA INPUT'!B33="T. ser",3.142*'DATA INPUT'!N33^2*'DATA INPUT'!O33/3+3.142*'DATA INPUT'!P33^2/3*(3*'DATA INPUT'!N33-'DATA INPUT'!P33),IF('DATA INPUT'!B33="S. mel",3.142*'DATA INPUT'!N33^2*'DATA INPUT'!O33/3+3.142*'DATA INPUT'!P33^2/3*(3*'DATA INPUT'!N33-'DATA INPUT'!P33),IF('DATA INPUT'!B33="V. ref",3.142*'DATA INPUT'!N33^2*'DATA INPUT'!O33/3+3.142*'DATA INPUT'!P33^2/3*(3*'DATA INPUT'!N33-'DATA INPUT'!P33),IF('DATA INPUT'!B33=1,3.142*'DATA INPUT'!N33^2*'DATA INPUT'!O33/3+3.142*'DATA INPUT'!P33^2/3*(3*'DATA INPUT'!N33-'DATA INPUT'!P33),IF('DATA INPUT'!B33=2,3.142*'DATA INPUT'!N33^2*'DATA INPUT'!O33/3+3.142*'DATA INPUT'!P33^2/3*(3*'DATA INPUT'!N33-'DATA INPUT'!P33),FALSE)))))</f>
        <v>0</v>
      </c>
      <c r="J29" s="2" t="b">
        <f>IF('DATA INPUT'!B33="T. ser",0.0458*CALCULATIONS!I29^0.6841,IF('DATA INPUT'!B33="S. mel",0.6047*CALCULATIONS!I29^0.6433,IF('DATA INPUT'!B33="V. ref",0.77086*CALCULATIONS!I29^0.4936,IF('DATA INPUT'!B33=1,0.68778*CALCULATIONS!I29^0.56845,IF('DATA INPUT'!B33=2,0.0458*CALCULATIONS!I29^0.6841,FALSE)))))</f>
        <v>0</v>
      </c>
      <c r="K29" s="3">
        <f t="shared" si="1"/>
        <v>0</v>
      </c>
      <c r="L29" s="3" t="b">
        <f>IF('DATA INPUT'!B33="T. ser",('DATA INPUT'!D33+'DATA INPUT'!F33+'DATA INPUT'!H33+'DATA INPUT'!J33)/1.5,IF('DATA INPUT'!B33="V. ref",('DATA INPUT'!D33+'DATA INPUT'!F33+'DATA INPUT'!H33+'DATA INPUT'!J33)/1.5,IF('DATA INPUT'!B33="S. mel",('DATA INPUT'!D33+'DATA INPUT'!F33+'DATA INPUT'!H33+'DATA INPUT'!J33)/1.5,IF('DATA INPUT'!B33=1,('DATA INPUT'!D33+'DATA INPUT'!F33+'DATA INPUT'!H33+'DATA INPUT'!J33)/1.5,IF('DATA INPUT'!B33=2,('DATA INPUT'!D33+'DATA INPUT'!F33+'DATA INPUT'!H33+'DATA INPUT'!J33)/1.5,FALSE)))))</f>
        <v>0</v>
      </c>
      <c r="N29" s="16">
        <f>'DATA INPUT'!C33</f>
        <v>0</v>
      </c>
      <c r="O29" s="3" t="b">
        <f>IF('DATA INPUT'!B33="T. ser",0.3446*'DATA INPUT'!D33^1.0619,IF('DATA INPUT'!B33="S. mel",(1270.6*'DATA INPUT'!D33^2.0933)/1000,IF('DATA INPUT'!B33="V. ref",(816.25*'DATA INPUT'!D33^2.1754)/1000,IF('DATA INPUT'!B33=1,(1492.4*'DATA INPUT'!D33^1.7591)/1000,IF('DATA INPUT'!B33=2,0.3446*'DATA INPUT'!D33^1.0619,FALSE)))))</f>
        <v>0</v>
      </c>
      <c r="P29" s="3" t="b">
        <f>IF('DATA INPUT'!B33="T. ser",0.3662*'DATA INPUT'!E33^1.5061,IF('DATA INPUT'!B33="S. mel",(748.47*'DATA INPUT'!E33^2.2691)/1000,IF('DATA INPUT'!B33="V. ref",(953.69*'DATA INPUT'!E33^1.9524)/1000,IF('DATA INPUT'!B33=1,(695.02*'DATA INPUT'!E33^2.3452)/1000,IF('DATA INPUT'!B33=2,0.3662*'DATA INPUT'!E33^1.5061,FALSE)))))</f>
        <v>0</v>
      </c>
      <c r="Q29" s="3" t="b">
        <f>IF('DATA INPUT'!B33="T. ser",0.1225*('DATA INPUT'!F33*'DATA INPUT'!G33)^0.8272,IF('DATA INPUT'!B33="S. mel",(925.08*('DATA INPUT'!F33*'DATA INPUT'!G33)^1.1603)/1000,IF('DATA INPUT'!B33="V. ref",(776.29*('DATA INPUT'!F33*'DATA INPUT'!G33)^1.1226)/1000,IF('DATA INPUT'!B33=1,(884.6*('DATA INPUT'!F33*'DATA INPUT'!G33)^1.129)/1000,IF('DATA INPUT'!B33=2,0.1225*('DATA INPUT'!F33*'DATA INPUT'!G33)^0.8272,FALSE)))))</f>
        <v>0</v>
      </c>
      <c r="R29" s="3" t="b">
        <f>IF('DATA INPUT'!B33="T. ser",5.5287*('DATA INPUT'!H33*'DATA INPUT'!I33)^0.8272,IF('DATA INPUT'!B33="S. mel",(31469*('DATA INPUT'!H33*'DATA INPUT'!I33)^0.8608)/1000,IF('DATA INPUT'!B33="V. ref",(39394*('DATA INPUT'!H33*'DATA INPUT'!I33)^1.005)/1000,IF('DATA INPUT'!B33=1,(31791*('DATA INPUT'!H33*'DATA INPUT'!I33)^0.8467)/1000,IF('DATA INPUT'!B33=2,5.5287*('DATA INPUT'!H33*'DATA INPUT'!I33)^0.8272,FALSE)))))</f>
        <v>0</v>
      </c>
      <c r="S29" s="3" t="b">
        <f>IF('DATA INPUT'!B33="T. ser",0.0005*I29^0.5148,IF('DATA INPUT'!B33="S. mel",0.051*I29^0.7789/1000,IF('DATA INPUT'!B33="V. ref",0.0958*I29^0.7253/1000,IF('DATA INPUT'!B33=1,0.0426*I29^0.786/1000,IF('DATA INPUT'!B33=2,0.0005*I29^0.5148,FALSE)))))</f>
        <v>0</v>
      </c>
      <c r="T29" s="59">
        <f t="shared" si="2"/>
        <v>0</v>
      </c>
      <c r="AB29" s="1">
        <f>'DATA INPUT'!Q33</f>
        <v>0</v>
      </c>
      <c r="AC29" s="2">
        <f>COUNTIF('DATA INPUT'!$C$7:$C$156,'DATA INPUT'!Q33)</f>
        <v>0</v>
      </c>
      <c r="AD29" s="2" t="e">
        <f>AC29*10000/RESULTS_REPORT!$C$18</f>
        <v>#DIV/0!</v>
      </c>
      <c r="AE29" s="2">
        <f t="shared" si="3"/>
        <v>0</v>
      </c>
      <c r="AF29" s="2" t="e">
        <f>AE29*10000/RESULTS_REPORT!$C$18</f>
        <v>#DIV/0!</v>
      </c>
      <c r="AG29" s="2">
        <f t="shared" si="4"/>
        <v>0</v>
      </c>
      <c r="AH29" s="2" t="e">
        <f>AG29*10000/RESULTS_REPORT!$C$18</f>
        <v>#DIV/0!</v>
      </c>
      <c r="AJ29" s="3">
        <f t="shared" si="5"/>
        <v>0</v>
      </c>
      <c r="AK29" s="2" t="e">
        <f>AJ29*10000/RESULTS_REPORT!$C$18</f>
        <v>#DIV/0!</v>
      </c>
      <c r="AL29" s="2">
        <f t="shared" si="6"/>
        <v>0</v>
      </c>
      <c r="AM29" s="3" t="e">
        <f>AL29*10000/RESULTS_REPORT!$C$18</f>
        <v>#DIV/0!</v>
      </c>
      <c r="AN29" s="3"/>
    </row>
    <row r="30" spans="1:40" x14ac:dyDescent="0.2">
      <c r="A30" s="16">
        <f>'DATA INPUT'!C34</f>
        <v>0</v>
      </c>
      <c r="B30" s="11" t="b">
        <f>IF('DATA INPUT'!B34="T. ser",0.1656*'DATA INPUT'!D34^1.4655,IF('DATA INPUT'!B34="S. mel",135.53*'DATA INPUT'!D34^3.8701/1000,IF('DATA INPUT'!B34="V. ref",143.01*'DATA INPUT'!D34^3.3147/1000,IF('DATA INPUT'!B34=1,143.35*'DATA INPUT'!D34^3.6046/1000,IF('DATA INPUT'!B34=2,0.1656*'DATA INPUT'!D34^1.4655,FALSE)))))</f>
        <v>0</v>
      </c>
      <c r="C30" s="8" t="b">
        <f>IF('DATA INPUT'!B34="T. ser",0.3356*'DATA INPUT'!E34^0.9984,IF('DATA INPUT'!B34="S. mel",24.906*'DATA INPUT'!E34^4.7681/1000,IF('DATA INPUT'!B34="V. ref",118.45*'DATA INPUT'!E34^3.5959/1000,IF('DATA INPUT'!B34=1,55.075*'DATA INPUT'!E34^4.0991/1000,IF('DATA INPUT'!B34=2,0.3356*'DATA INPUT'!E34^0.9984,FALSE)))))</f>
        <v>0</v>
      </c>
      <c r="D30" s="18" t="b">
        <f>IF('DATA INPUT'!B34="T. ser",0.0615*('DATA INPUT'!F34*'DATA INPUT'!G34)^0.9573,IF('DATA INPUT'!B34="S. mel",46.162*('DATA INPUT'!F34*'DATA INPUT'!G34)^2.3652/1000,IF('DATA INPUT'!B34="V. ref",90.34*('DATA INPUT'!F34*'DATA INPUT'!G34)^1.9756/1000,IF('DATA INPUT'!B34=1,63.022*('DATA INPUT'!F34*'DATA INPUT'!G34)^2.1551/1000,IF('DATA INPUT'!B34=2,0.0615*('DATA INPUT'!F34*'DATA INPUT'!G34)^0.9573,FALSE)))))</f>
        <v>0</v>
      </c>
      <c r="E30" s="8" t="b">
        <f>IF('DATA INPUT'!B34="T. ser",5.0562*('DATA INPUT'!H34*'DATA INPUT'!I34)^0.9574,IF('DATA INPUT'!B34="S. mel",44047*('DATA INPUT'!H34*'DATA INPUT'!I34)^1.5456/1000,IF('DATA INPUT'!B34="V. ref",91930*('DATA INPUT'!H34*'DATA INPUT'!I34)^1.7774/1000,IF('DATA INPUT'!B34=1,62601*('DATA INPUT'!H34*'DATA INPUT'!I34)^1.6463/1000,IF('DATA INPUT'!B34=2,5.0562*('DATA INPUT'!H34*'DATA INPUT'!I34)^0.9574,FALSE)))))</f>
        <v>0</v>
      </c>
      <c r="F30" s="18" t="b">
        <f>IF('DATA INPUT'!B34="T. ser",0.0009*I30^0.4477,IF('DATA INPUT'!B34="S. mel",0.0000004*I30^1.4912/1000,IF('DATA INPUT'!B34="V. ref",0.00000005*I30^1.6284/1000,IF('DATA INPUT'!B34=1,0.0000007*I30^1.4601/1000,IF('DATA INPUT'!B34=2,0.0009*I30^0.4477,FALSE)))))</f>
        <v>0</v>
      </c>
      <c r="G30" s="57">
        <f t="shared" si="0"/>
        <v>0</v>
      </c>
      <c r="H30" s="57"/>
      <c r="I30" s="2" t="b">
        <f>IF('DATA INPUT'!B34="T. ser",3.142*'DATA INPUT'!N34^2*'DATA INPUT'!O34/3+3.142*'DATA INPUT'!P34^2/3*(3*'DATA INPUT'!N34-'DATA INPUT'!P34),IF('DATA INPUT'!B34="S. mel",3.142*'DATA INPUT'!N34^2*'DATA INPUT'!O34/3+3.142*'DATA INPUT'!P34^2/3*(3*'DATA INPUT'!N34-'DATA INPUT'!P34),IF('DATA INPUT'!B34="V. ref",3.142*'DATA INPUT'!N34^2*'DATA INPUT'!O34/3+3.142*'DATA INPUT'!P34^2/3*(3*'DATA INPUT'!N34-'DATA INPUT'!P34),IF('DATA INPUT'!B34=1,3.142*'DATA INPUT'!N34^2*'DATA INPUT'!O34/3+3.142*'DATA INPUT'!P34^2/3*(3*'DATA INPUT'!N34-'DATA INPUT'!P34),IF('DATA INPUT'!B34=2,3.142*'DATA INPUT'!N34^2*'DATA INPUT'!O34/3+3.142*'DATA INPUT'!P34^2/3*(3*'DATA INPUT'!N34-'DATA INPUT'!P34),FALSE)))))</f>
        <v>0</v>
      </c>
      <c r="J30" s="2" t="b">
        <f>IF('DATA INPUT'!B34="T. ser",0.0458*CALCULATIONS!I30^0.6841,IF('DATA INPUT'!B34="S. mel",0.6047*CALCULATIONS!I30^0.6433,IF('DATA INPUT'!B34="V. ref",0.77086*CALCULATIONS!I30^0.4936,IF('DATA INPUT'!B34=1,0.68778*CALCULATIONS!I30^0.56845,IF('DATA INPUT'!B34=2,0.0458*CALCULATIONS!I30^0.6841,FALSE)))))</f>
        <v>0</v>
      </c>
      <c r="K30" s="3">
        <f t="shared" si="1"/>
        <v>0</v>
      </c>
      <c r="L30" s="3" t="b">
        <f>IF('DATA INPUT'!B34="T. ser",('DATA INPUT'!D34+'DATA INPUT'!F34+'DATA INPUT'!H34+'DATA INPUT'!J34)/1.5,IF('DATA INPUT'!B34="V. ref",('DATA INPUT'!D34+'DATA INPUT'!F34+'DATA INPUT'!H34+'DATA INPUT'!J34)/1.5,IF('DATA INPUT'!B34="S. mel",('DATA INPUT'!D34+'DATA INPUT'!F34+'DATA INPUT'!H34+'DATA INPUT'!J34)/1.5,IF('DATA INPUT'!B34=1,('DATA INPUT'!D34+'DATA INPUT'!F34+'DATA INPUT'!H34+'DATA INPUT'!J34)/1.5,IF('DATA INPUT'!B34=2,('DATA INPUT'!D34+'DATA INPUT'!F34+'DATA INPUT'!H34+'DATA INPUT'!J34)/1.5,FALSE)))))</f>
        <v>0</v>
      </c>
      <c r="N30" s="16">
        <f>'DATA INPUT'!C34</f>
        <v>0</v>
      </c>
      <c r="O30" s="3" t="b">
        <f>IF('DATA INPUT'!B34="T. ser",0.3446*'DATA INPUT'!D34^1.0619,IF('DATA INPUT'!B34="S. mel",(1270.6*'DATA INPUT'!D34^2.0933)/1000,IF('DATA INPUT'!B34="V. ref",(816.25*'DATA INPUT'!D34^2.1754)/1000,IF('DATA INPUT'!B34=1,(1492.4*'DATA INPUT'!D34^1.7591)/1000,IF('DATA INPUT'!B34=2,0.3446*'DATA INPUT'!D34^1.0619,FALSE)))))</f>
        <v>0</v>
      </c>
      <c r="P30" s="3" t="b">
        <f>IF('DATA INPUT'!B34="T. ser",0.3662*'DATA INPUT'!E34^1.5061,IF('DATA INPUT'!B34="S. mel",(748.47*'DATA INPUT'!E34^2.2691)/1000,IF('DATA INPUT'!B34="V. ref",(953.69*'DATA INPUT'!E34^1.9524)/1000,IF('DATA INPUT'!B34=1,(695.02*'DATA INPUT'!E34^2.3452)/1000,IF('DATA INPUT'!B34=2,0.3662*'DATA INPUT'!E34^1.5061,FALSE)))))</f>
        <v>0</v>
      </c>
      <c r="Q30" s="3" t="b">
        <f>IF('DATA INPUT'!B34="T. ser",0.1225*('DATA INPUT'!F34*'DATA INPUT'!G34)^0.8272,IF('DATA INPUT'!B34="S. mel",(925.08*('DATA INPUT'!F34*'DATA INPUT'!G34)^1.1603)/1000,IF('DATA INPUT'!B34="V. ref",(776.29*('DATA INPUT'!F34*'DATA INPUT'!G34)^1.1226)/1000,IF('DATA INPUT'!B34=1,(884.6*('DATA INPUT'!F34*'DATA INPUT'!G34)^1.129)/1000,IF('DATA INPUT'!B34=2,0.1225*('DATA INPUT'!F34*'DATA INPUT'!G34)^0.8272,FALSE)))))</f>
        <v>0</v>
      </c>
      <c r="R30" s="3" t="b">
        <f>IF('DATA INPUT'!B34="T. ser",5.5287*('DATA INPUT'!H34*'DATA INPUT'!I34)^0.8272,IF('DATA INPUT'!B34="S. mel",(31469*('DATA INPUT'!H34*'DATA INPUT'!I34)^0.8608)/1000,IF('DATA INPUT'!B34="V. ref",(39394*('DATA INPUT'!H34*'DATA INPUT'!I34)^1.005)/1000,IF('DATA INPUT'!B34=1,(31791*('DATA INPUT'!H34*'DATA INPUT'!I34)^0.8467)/1000,IF('DATA INPUT'!B34=2,5.5287*('DATA INPUT'!H34*'DATA INPUT'!I34)^0.8272,FALSE)))))</f>
        <v>0</v>
      </c>
      <c r="S30" s="3" t="b">
        <f>IF('DATA INPUT'!B34="T. ser",0.0005*I30^0.5148,IF('DATA INPUT'!B34="S. mel",0.051*I30^0.7789/1000,IF('DATA INPUT'!B34="V. ref",0.0958*I30^0.7253/1000,IF('DATA INPUT'!B34=1,0.0426*I30^0.786/1000,IF('DATA INPUT'!B34=2,0.0005*I30^0.5148,FALSE)))))</f>
        <v>0</v>
      </c>
      <c r="T30" s="59">
        <f t="shared" si="2"/>
        <v>0</v>
      </c>
      <c r="AB30">
        <f>'DATA INPUT'!Q34</f>
        <v>0</v>
      </c>
      <c r="AC30" s="2">
        <f>COUNTIF('DATA INPUT'!$C$7:$C$156,'DATA INPUT'!Q34)</f>
        <v>0</v>
      </c>
      <c r="AD30" s="2" t="e">
        <f>AC30*10000/RESULTS_REPORT!$C$18</f>
        <v>#DIV/0!</v>
      </c>
      <c r="AE30" s="2">
        <f t="shared" si="3"/>
        <v>0</v>
      </c>
      <c r="AF30" s="2" t="e">
        <f>AE30*10000/RESULTS_REPORT!$C$18</f>
        <v>#DIV/0!</v>
      </c>
      <c r="AG30" s="2">
        <f t="shared" si="4"/>
        <v>0</v>
      </c>
      <c r="AH30" s="2" t="e">
        <f>AG30*10000/RESULTS_REPORT!$C$18</f>
        <v>#DIV/0!</v>
      </c>
      <c r="AJ30" s="3">
        <f t="shared" si="5"/>
        <v>0</v>
      </c>
      <c r="AK30" s="2" t="e">
        <f>AJ30*10000/RESULTS_REPORT!$C$18</f>
        <v>#DIV/0!</v>
      </c>
      <c r="AL30" s="2">
        <f t="shared" si="6"/>
        <v>0</v>
      </c>
      <c r="AM30" s="3" t="e">
        <f>AL30*10000/RESULTS_REPORT!$C$18</f>
        <v>#DIV/0!</v>
      </c>
      <c r="AN30" s="3"/>
    </row>
    <row r="31" spans="1:40" x14ac:dyDescent="0.2">
      <c r="A31" s="16">
        <f>'DATA INPUT'!C35</f>
        <v>0</v>
      </c>
      <c r="B31" s="11" t="b">
        <f>IF('DATA INPUT'!B35="T. ser",0.1656*'DATA INPUT'!D35^1.4655,IF('DATA INPUT'!B35="S. mel",135.53*'DATA INPUT'!D35^3.8701/1000,IF('DATA INPUT'!B35="V. ref",143.01*'DATA INPUT'!D35^3.3147/1000,IF('DATA INPUT'!B35=1,143.35*'DATA INPUT'!D35^3.6046/1000,IF('DATA INPUT'!B35=2,0.1656*'DATA INPUT'!D35^1.4655,FALSE)))))</f>
        <v>0</v>
      </c>
      <c r="C31" s="8" t="b">
        <f>IF('DATA INPUT'!B35="T. ser",0.3356*'DATA INPUT'!E35^0.9984,IF('DATA INPUT'!B35="S. mel",24.906*'DATA INPUT'!E35^4.7681/1000,IF('DATA INPUT'!B35="V. ref",118.45*'DATA INPUT'!E35^3.5959/1000,IF('DATA INPUT'!B35=1,55.075*'DATA INPUT'!E35^4.0991/1000,IF('DATA INPUT'!B35=2,0.3356*'DATA INPUT'!E35^0.9984,FALSE)))))</f>
        <v>0</v>
      </c>
      <c r="D31" s="18" t="b">
        <f>IF('DATA INPUT'!B35="T. ser",0.0615*('DATA INPUT'!F35*'DATA INPUT'!G35)^0.9573,IF('DATA INPUT'!B35="S. mel",46.162*('DATA INPUT'!F35*'DATA INPUT'!G35)^2.3652/1000,IF('DATA INPUT'!B35="V. ref",90.34*('DATA INPUT'!F35*'DATA INPUT'!G35)^1.9756/1000,IF('DATA INPUT'!B35=1,63.022*('DATA INPUT'!F35*'DATA INPUT'!G35)^2.1551/1000,IF('DATA INPUT'!B35=2,0.0615*('DATA INPUT'!F35*'DATA INPUT'!G35)^0.9573,FALSE)))))</f>
        <v>0</v>
      </c>
      <c r="E31" s="8" t="b">
        <f>IF('DATA INPUT'!B35="T. ser",5.0562*('DATA INPUT'!H35*'DATA INPUT'!I35)^0.9574,IF('DATA INPUT'!B35="S. mel",44047*('DATA INPUT'!H35*'DATA INPUT'!I35)^1.5456/1000,IF('DATA INPUT'!B35="V. ref",91930*('DATA INPUT'!H35*'DATA INPUT'!I35)^1.7774/1000,IF('DATA INPUT'!B35=1,62601*('DATA INPUT'!H35*'DATA INPUT'!I35)^1.6463/1000,IF('DATA INPUT'!B35=2,5.0562*('DATA INPUT'!H35*'DATA INPUT'!I35)^0.9574,FALSE)))))</f>
        <v>0</v>
      </c>
      <c r="F31" s="18" t="b">
        <f>IF('DATA INPUT'!B35="T. ser",0.0009*I31^0.4477,IF('DATA INPUT'!B35="S. mel",0.0000004*I31^1.4912/1000,IF('DATA INPUT'!B35="V. ref",0.00000005*I31^1.6284/1000,IF('DATA INPUT'!B35=1,0.0000007*I31^1.4601/1000,IF('DATA INPUT'!B35=2,0.0009*I31^0.4477,FALSE)))))</f>
        <v>0</v>
      </c>
      <c r="G31" s="57">
        <f t="shared" si="0"/>
        <v>0</v>
      </c>
      <c r="H31" s="57"/>
      <c r="I31" s="2" t="b">
        <f>IF('DATA INPUT'!B35="T. ser",3.142*'DATA INPUT'!N35^2*'DATA INPUT'!O35/3+3.142*'DATA INPUT'!P35^2/3*(3*'DATA INPUT'!N35-'DATA INPUT'!P35),IF('DATA INPUT'!B35="S. mel",3.142*'DATA INPUT'!N35^2*'DATA INPUT'!O35/3+3.142*'DATA INPUT'!P35^2/3*(3*'DATA INPUT'!N35-'DATA INPUT'!P35),IF('DATA INPUT'!B35="V. ref",3.142*'DATA INPUT'!N35^2*'DATA INPUT'!O35/3+3.142*'DATA INPUT'!P35^2/3*(3*'DATA INPUT'!N35-'DATA INPUT'!P35),IF('DATA INPUT'!B35=1,3.142*'DATA INPUT'!N35^2*'DATA INPUT'!O35/3+3.142*'DATA INPUT'!P35^2/3*(3*'DATA INPUT'!N35-'DATA INPUT'!P35),IF('DATA INPUT'!B35=2,3.142*'DATA INPUT'!N35^2*'DATA INPUT'!O35/3+3.142*'DATA INPUT'!P35^2/3*(3*'DATA INPUT'!N35-'DATA INPUT'!P35),FALSE)))))</f>
        <v>0</v>
      </c>
      <c r="J31" s="2" t="b">
        <f>IF('DATA INPUT'!B35="T. ser",0.0458*CALCULATIONS!I31^0.6841,IF('DATA INPUT'!B35="S. mel",0.6047*CALCULATIONS!I31^0.6433,IF('DATA INPUT'!B35="V. ref",0.77086*CALCULATIONS!I31^0.4936,IF('DATA INPUT'!B35=1,0.68778*CALCULATIONS!I31^0.56845,IF('DATA INPUT'!B35=2,0.0458*CALCULATIONS!I31^0.6841,FALSE)))))</f>
        <v>0</v>
      </c>
      <c r="K31" s="3">
        <f t="shared" si="1"/>
        <v>0</v>
      </c>
      <c r="L31" s="3" t="b">
        <f>IF('DATA INPUT'!B35="T. ser",('DATA INPUT'!D35+'DATA INPUT'!F35+'DATA INPUT'!H35+'DATA INPUT'!J35)/1.5,IF('DATA INPUT'!B35="V. ref",('DATA INPUT'!D35+'DATA INPUT'!F35+'DATA INPUT'!H35+'DATA INPUT'!J35)/1.5,IF('DATA INPUT'!B35="S. mel",('DATA INPUT'!D35+'DATA INPUT'!F35+'DATA INPUT'!H35+'DATA INPUT'!J35)/1.5,IF('DATA INPUT'!B35=1,('DATA INPUT'!D35+'DATA INPUT'!F35+'DATA INPUT'!H35+'DATA INPUT'!J35)/1.5,IF('DATA INPUT'!B35=2,('DATA INPUT'!D35+'DATA INPUT'!F35+'DATA INPUT'!H35+'DATA INPUT'!J35)/1.5,FALSE)))))</f>
        <v>0</v>
      </c>
      <c r="N31" s="16">
        <f>'DATA INPUT'!C35</f>
        <v>0</v>
      </c>
      <c r="O31" s="3" t="b">
        <f>IF('DATA INPUT'!B35="T. ser",0.3446*'DATA INPUT'!D35^1.0619,IF('DATA INPUT'!B35="S. mel",(1270.6*'DATA INPUT'!D35^2.0933)/1000,IF('DATA INPUT'!B35="V. ref",(816.25*'DATA INPUT'!D35^2.1754)/1000,IF('DATA INPUT'!B35=1,(1492.4*'DATA INPUT'!D35^1.7591)/1000,IF('DATA INPUT'!B35=2,0.3446*'DATA INPUT'!D35^1.0619,FALSE)))))</f>
        <v>0</v>
      </c>
      <c r="P31" s="3" t="b">
        <f>IF('DATA INPUT'!B35="T. ser",0.3662*'DATA INPUT'!E35^1.5061,IF('DATA INPUT'!B35="S. mel",(748.47*'DATA INPUT'!E35^2.2691)/1000,IF('DATA INPUT'!B35="V. ref",(953.69*'DATA INPUT'!E35^1.9524)/1000,IF('DATA INPUT'!B35=1,(695.02*'DATA INPUT'!E35^2.3452)/1000,IF('DATA INPUT'!B35=2,0.3662*'DATA INPUT'!E35^1.5061,FALSE)))))</f>
        <v>0</v>
      </c>
      <c r="Q31" s="3" t="b">
        <f>IF('DATA INPUT'!B35="T. ser",0.1225*('DATA INPUT'!F35*'DATA INPUT'!G35)^0.8272,IF('DATA INPUT'!B35="S. mel",(925.08*('DATA INPUT'!F35*'DATA INPUT'!G35)^1.1603)/1000,IF('DATA INPUT'!B35="V. ref",(776.29*('DATA INPUT'!F35*'DATA INPUT'!G35)^1.1226)/1000,IF('DATA INPUT'!B35=1,(884.6*('DATA INPUT'!F35*'DATA INPUT'!G35)^1.129)/1000,IF('DATA INPUT'!B35=2,0.1225*('DATA INPUT'!F35*'DATA INPUT'!G35)^0.8272,FALSE)))))</f>
        <v>0</v>
      </c>
      <c r="R31" s="3" t="b">
        <f>IF('DATA INPUT'!B35="T. ser",5.5287*('DATA INPUT'!H35*'DATA INPUT'!I35)^0.8272,IF('DATA INPUT'!B35="S. mel",(31469*('DATA INPUT'!H35*'DATA INPUT'!I35)^0.8608)/1000,IF('DATA INPUT'!B35="V. ref",(39394*('DATA INPUT'!H35*'DATA INPUT'!I35)^1.005)/1000,IF('DATA INPUT'!B35=1,(31791*('DATA INPUT'!H35*'DATA INPUT'!I35)^0.8467)/1000,IF('DATA INPUT'!B35=2,5.5287*('DATA INPUT'!H35*'DATA INPUT'!I35)^0.8272,FALSE)))))</f>
        <v>0</v>
      </c>
      <c r="S31" s="3" t="b">
        <f>IF('DATA INPUT'!B35="T. ser",0.0005*I31^0.5148,IF('DATA INPUT'!B35="S. mel",0.051*I31^0.7789/1000,IF('DATA INPUT'!B35="V. ref",0.0958*I31^0.7253/1000,IF('DATA INPUT'!B35=1,0.0426*I31^0.786/1000,IF('DATA INPUT'!B35=2,0.0005*I31^0.5148,FALSE)))))</f>
        <v>0</v>
      </c>
      <c r="T31" s="59">
        <f t="shared" si="2"/>
        <v>0</v>
      </c>
      <c r="AB31" s="1">
        <f>'DATA INPUT'!Q35</f>
        <v>0</v>
      </c>
      <c r="AC31" s="2">
        <f>COUNTIF('DATA INPUT'!$C$7:$C$156,'DATA INPUT'!Q35)</f>
        <v>0</v>
      </c>
      <c r="AD31" s="2" t="e">
        <f>AC31*10000/RESULTS_REPORT!$C$18</f>
        <v>#DIV/0!</v>
      </c>
      <c r="AE31" s="2">
        <f t="shared" si="3"/>
        <v>0</v>
      </c>
      <c r="AF31" s="2" t="e">
        <f>AE31*10000/RESULTS_REPORT!$C$18</f>
        <v>#DIV/0!</v>
      </c>
      <c r="AG31" s="2">
        <f t="shared" si="4"/>
        <v>0</v>
      </c>
      <c r="AH31" s="2" t="e">
        <f>AG31*10000/RESULTS_REPORT!$C$18</f>
        <v>#DIV/0!</v>
      </c>
      <c r="AJ31" s="3">
        <f t="shared" si="5"/>
        <v>0</v>
      </c>
      <c r="AK31" s="2" t="e">
        <f>AJ31*10000/RESULTS_REPORT!$C$18</f>
        <v>#DIV/0!</v>
      </c>
      <c r="AL31" s="2">
        <f t="shared" si="6"/>
        <v>0</v>
      </c>
      <c r="AM31" s="3" t="e">
        <f>AL31*10000/RESULTS_REPORT!$C$18</f>
        <v>#DIV/0!</v>
      </c>
      <c r="AN31" s="3"/>
    </row>
    <row r="32" spans="1:40" x14ac:dyDescent="0.2">
      <c r="A32" s="16">
        <f>'DATA INPUT'!C36</f>
        <v>0</v>
      </c>
      <c r="B32" s="11" t="b">
        <f>IF('DATA INPUT'!B36="T. ser",0.1656*'DATA INPUT'!D36^1.4655,IF('DATA INPUT'!B36="S. mel",135.53*'DATA INPUT'!D36^3.8701/1000,IF('DATA INPUT'!B36="V. ref",143.01*'DATA INPUT'!D36^3.3147/1000,IF('DATA INPUT'!B36=1,143.35*'DATA INPUT'!D36^3.6046/1000,IF('DATA INPUT'!B36=2,0.1656*'DATA INPUT'!D36^1.4655,FALSE)))))</f>
        <v>0</v>
      </c>
      <c r="C32" s="8" t="b">
        <f>IF('DATA INPUT'!B36="T. ser",0.3356*'DATA INPUT'!E36^0.9984,IF('DATA INPUT'!B36="S. mel",24.906*'DATA INPUT'!E36^4.7681/1000,IF('DATA INPUT'!B36="V. ref",118.45*'DATA INPUT'!E36^3.5959/1000,IF('DATA INPUT'!B36=1,55.075*'DATA INPUT'!E36^4.0991/1000,IF('DATA INPUT'!B36=2,0.3356*'DATA INPUT'!E36^0.9984,FALSE)))))</f>
        <v>0</v>
      </c>
      <c r="D32" s="18" t="b">
        <f>IF('DATA INPUT'!B36="T. ser",0.0615*('DATA INPUT'!F36*'DATA INPUT'!G36)^0.9573,IF('DATA INPUT'!B36="S. mel",46.162*('DATA INPUT'!F36*'DATA INPUT'!G36)^2.3652/1000,IF('DATA INPUT'!B36="V. ref",90.34*('DATA INPUT'!F36*'DATA INPUT'!G36)^1.9756/1000,IF('DATA INPUT'!B36=1,63.022*('DATA INPUT'!F36*'DATA INPUT'!G36)^2.1551/1000,IF('DATA INPUT'!B36=2,0.0615*('DATA INPUT'!F36*'DATA INPUT'!G36)^0.9573,FALSE)))))</f>
        <v>0</v>
      </c>
      <c r="E32" s="8" t="b">
        <f>IF('DATA INPUT'!B36="T. ser",5.0562*('DATA INPUT'!H36*'DATA INPUT'!I36)^0.9574,IF('DATA INPUT'!B36="S. mel",44047*('DATA INPUT'!H36*'DATA INPUT'!I36)^1.5456/1000,IF('DATA INPUT'!B36="V. ref",91930*('DATA INPUT'!H36*'DATA INPUT'!I36)^1.7774/1000,IF('DATA INPUT'!B36=1,62601*('DATA INPUT'!H36*'DATA INPUT'!I36)^1.6463/1000,IF('DATA INPUT'!B36=2,5.0562*('DATA INPUT'!H36*'DATA INPUT'!I36)^0.9574,FALSE)))))</f>
        <v>0</v>
      </c>
      <c r="F32" s="18" t="b">
        <f>IF('DATA INPUT'!B36="T. ser",0.0009*I32^0.4477,IF('DATA INPUT'!B36="S. mel",0.0000004*I32^1.4912/1000,IF('DATA INPUT'!B36="V. ref",0.00000005*I32^1.6284/1000,IF('DATA INPUT'!B36=1,0.0000007*I32^1.4601/1000,IF('DATA INPUT'!B36=2,0.0009*I32^0.4477,FALSE)))))</f>
        <v>0</v>
      </c>
      <c r="G32" s="57">
        <f t="shared" si="0"/>
        <v>0</v>
      </c>
      <c r="H32" s="57"/>
      <c r="I32" s="2" t="b">
        <f>IF('DATA INPUT'!B36="T. ser",3.142*'DATA INPUT'!N36^2*'DATA INPUT'!O36/3+3.142*'DATA INPUT'!P36^2/3*(3*'DATA INPUT'!N36-'DATA INPUT'!P36),IF('DATA INPUT'!B36="S. mel",3.142*'DATA INPUT'!N36^2*'DATA INPUT'!O36/3+3.142*'DATA INPUT'!P36^2/3*(3*'DATA INPUT'!N36-'DATA INPUT'!P36),IF('DATA INPUT'!B36="V. ref",3.142*'DATA INPUT'!N36^2*'DATA INPUT'!O36/3+3.142*'DATA INPUT'!P36^2/3*(3*'DATA INPUT'!N36-'DATA INPUT'!P36),IF('DATA INPUT'!B36=1,3.142*'DATA INPUT'!N36^2*'DATA INPUT'!O36/3+3.142*'DATA INPUT'!P36^2/3*(3*'DATA INPUT'!N36-'DATA INPUT'!P36),IF('DATA INPUT'!B36=2,3.142*'DATA INPUT'!N36^2*'DATA INPUT'!O36/3+3.142*'DATA INPUT'!P36^2/3*(3*'DATA INPUT'!N36-'DATA INPUT'!P36),FALSE)))))</f>
        <v>0</v>
      </c>
      <c r="J32" s="2" t="b">
        <f>IF('DATA INPUT'!B36="T. ser",0.0458*CALCULATIONS!I32^0.6841,IF('DATA INPUT'!B36="S. mel",0.6047*CALCULATIONS!I32^0.6433,IF('DATA INPUT'!B36="V. ref",0.77086*CALCULATIONS!I32^0.4936,IF('DATA INPUT'!B36=1,0.68778*CALCULATIONS!I32^0.56845,IF('DATA INPUT'!B36=2,0.0458*CALCULATIONS!I32^0.6841,FALSE)))))</f>
        <v>0</v>
      </c>
      <c r="K32" s="3">
        <f t="shared" si="1"/>
        <v>0</v>
      </c>
      <c r="L32" s="3" t="b">
        <f>IF('DATA INPUT'!B36="T. ser",('DATA INPUT'!D36+'DATA INPUT'!F36+'DATA INPUT'!H36+'DATA INPUT'!J36)/1.5,IF('DATA INPUT'!B36="V. ref",('DATA INPUT'!D36+'DATA INPUT'!F36+'DATA INPUT'!H36+'DATA INPUT'!J36)/1.5,IF('DATA INPUT'!B36="S. mel",('DATA INPUT'!D36+'DATA INPUT'!F36+'DATA INPUT'!H36+'DATA INPUT'!J36)/1.5,IF('DATA INPUT'!B36=1,('DATA INPUT'!D36+'DATA INPUT'!F36+'DATA INPUT'!H36+'DATA INPUT'!J36)/1.5,IF('DATA INPUT'!B36=2,('DATA INPUT'!D36+'DATA INPUT'!F36+'DATA INPUT'!H36+'DATA INPUT'!J36)/1.5,FALSE)))))</f>
        <v>0</v>
      </c>
      <c r="N32" s="16">
        <f>'DATA INPUT'!C36</f>
        <v>0</v>
      </c>
      <c r="O32" s="3" t="b">
        <f>IF('DATA INPUT'!B36="T. ser",0.3446*'DATA INPUT'!D36^1.0619,IF('DATA INPUT'!B36="S. mel",(1270.6*'DATA INPUT'!D36^2.0933)/1000,IF('DATA INPUT'!B36="V. ref",(816.25*'DATA INPUT'!D36^2.1754)/1000,IF('DATA INPUT'!B36=1,(1492.4*'DATA INPUT'!D36^1.7591)/1000,IF('DATA INPUT'!B36=2,0.3446*'DATA INPUT'!D36^1.0619,FALSE)))))</f>
        <v>0</v>
      </c>
      <c r="P32" s="3" t="b">
        <f>IF('DATA INPUT'!B36="T. ser",0.3662*'DATA INPUT'!E36^1.5061,IF('DATA INPUT'!B36="S. mel",(748.47*'DATA INPUT'!E36^2.2691)/1000,IF('DATA INPUT'!B36="V. ref",(953.69*'DATA INPUT'!E36^1.9524)/1000,IF('DATA INPUT'!B36=1,(695.02*'DATA INPUT'!E36^2.3452)/1000,IF('DATA INPUT'!B36=2,0.3662*'DATA INPUT'!E36^1.5061,FALSE)))))</f>
        <v>0</v>
      </c>
      <c r="Q32" s="3" t="b">
        <f>IF('DATA INPUT'!B36="T. ser",0.1225*('DATA INPUT'!F36*'DATA INPUT'!G36)^0.8272,IF('DATA INPUT'!B36="S. mel",(925.08*('DATA INPUT'!F36*'DATA INPUT'!G36)^1.1603)/1000,IF('DATA INPUT'!B36="V. ref",(776.29*('DATA INPUT'!F36*'DATA INPUT'!G36)^1.1226)/1000,IF('DATA INPUT'!B36=1,(884.6*('DATA INPUT'!F36*'DATA INPUT'!G36)^1.129)/1000,IF('DATA INPUT'!B36=2,0.1225*('DATA INPUT'!F36*'DATA INPUT'!G36)^0.8272,FALSE)))))</f>
        <v>0</v>
      </c>
      <c r="R32" s="3" t="b">
        <f>IF('DATA INPUT'!B36="T. ser",5.5287*('DATA INPUT'!H36*'DATA INPUT'!I36)^0.8272,IF('DATA INPUT'!B36="S. mel",(31469*('DATA INPUT'!H36*'DATA INPUT'!I36)^0.8608)/1000,IF('DATA INPUT'!B36="V. ref",(39394*('DATA INPUT'!H36*'DATA INPUT'!I36)^1.005)/1000,IF('DATA INPUT'!B36=1,(31791*('DATA INPUT'!H36*'DATA INPUT'!I36)^0.8467)/1000,IF('DATA INPUT'!B36=2,5.5287*('DATA INPUT'!H36*'DATA INPUT'!I36)^0.8272,FALSE)))))</f>
        <v>0</v>
      </c>
      <c r="S32" s="3" t="b">
        <f>IF('DATA INPUT'!B36="T. ser",0.0005*I32^0.5148,IF('DATA INPUT'!B36="S. mel",0.051*I32^0.7789/1000,IF('DATA INPUT'!B36="V. ref",0.0958*I32^0.7253/1000,IF('DATA INPUT'!B36=1,0.0426*I32^0.786/1000,IF('DATA INPUT'!B36=2,0.0005*I32^0.5148,FALSE)))))</f>
        <v>0</v>
      </c>
      <c r="T32" s="59">
        <f t="shared" si="2"/>
        <v>0</v>
      </c>
      <c r="AB32">
        <f>'DATA INPUT'!Q36</f>
        <v>0</v>
      </c>
      <c r="AC32" s="2">
        <f>COUNTIF('DATA INPUT'!$C$7:$C$156,'DATA INPUT'!Q36)</f>
        <v>0</v>
      </c>
      <c r="AD32" s="2" t="e">
        <f>AC32*10000/RESULTS_REPORT!$C$18</f>
        <v>#DIV/0!</v>
      </c>
      <c r="AE32" s="2">
        <f t="shared" si="3"/>
        <v>0</v>
      </c>
      <c r="AF32" s="2" t="e">
        <f>AE32*10000/RESULTS_REPORT!$C$18</f>
        <v>#DIV/0!</v>
      </c>
      <c r="AG32" s="2">
        <f t="shared" si="4"/>
        <v>0</v>
      </c>
      <c r="AH32" s="2" t="e">
        <f>AG32*10000/RESULTS_REPORT!$C$18</f>
        <v>#DIV/0!</v>
      </c>
      <c r="AJ32" s="3">
        <f t="shared" si="5"/>
        <v>0</v>
      </c>
      <c r="AK32" s="2" t="e">
        <f>AJ32*10000/RESULTS_REPORT!$C$18</f>
        <v>#DIV/0!</v>
      </c>
      <c r="AL32" s="2">
        <f t="shared" si="6"/>
        <v>0</v>
      </c>
      <c r="AM32" s="3" t="e">
        <f>AL32*10000/RESULTS_REPORT!$C$18</f>
        <v>#DIV/0!</v>
      </c>
      <c r="AN32" s="3"/>
    </row>
    <row r="33" spans="1:40" x14ac:dyDescent="0.2">
      <c r="A33" s="16">
        <f>'DATA INPUT'!C37</f>
        <v>0</v>
      </c>
      <c r="B33" s="11" t="b">
        <f>IF('DATA INPUT'!B37="T. ser",0.1656*'DATA INPUT'!D37^1.4655,IF('DATA INPUT'!B37="S. mel",135.53*'DATA INPUT'!D37^3.8701/1000,IF('DATA INPUT'!B37="V. ref",143.01*'DATA INPUT'!D37^3.3147/1000,IF('DATA INPUT'!B37=1,143.35*'DATA INPUT'!D37^3.6046/1000,IF('DATA INPUT'!B37=2,0.1656*'DATA INPUT'!D37^1.4655,FALSE)))))</f>
        <v>0</v>
      </c>
      <c r="C33" s="8" t="b">
        <f>IF('DATA INPUT'!B37="T. ser",0.3356*'DATA INPUT'!E37^0.9984,IF('DATA INPUT'!B37="S. mel",24.906*'DATA INPUT'!E37^4.7681/1000,IF('DATA INPUT'!B37="V. ref",118.45*'DATA INPUT'!E37^3.5959/1000,IF('DATA INPUT'!B37=1,55.075*'DATA INPUT'!E37^4.0991/1000,IF('DATA INPUT'!B37=2,0.3356*'DATA INPUT'!E37^0.9984,FALSE)))))</f>
        <v>0</v>
      </c>
      <c r="D33" s="18" t="b">
        <f>IF('DATA INPUT'!B37="T. ser",0.0615*('DATA INPUT'!F37*'DATA INPUT'!G37)^0.9573,IF('DATA INPUT'!B37="S. mel",46.162*('DATA INPUT'!F37*'DATA INPUT'!G37)^2.3652/1000,IF('DATA INPUT'!B37="V. ref",90.34*('DATA INPUT'!F37*'DATA INPUT'!G37)^1.9756/1000,IF('DATA INPUT'!B37=1,63.022*('DATA INPUT'!F37*'DATA INPUT'!G37)^2.1551/1000,IF('DATA INPUT'!B37=2,0.0615*('DATA INPUT'!F37*'DATA INPUT'!G37)^0.9573,FALSE)))))</f>
        <v>0</v>
      </c>
      <c r="E33" s="8" t="b">
        <f>IF('DATA INPUT'!B37="T. ser",5.0562*('DATA INPUT'!H37*'DATA INPUT'!I37)^0.9574,IF('DATA INPUT'!B37="S. mel",44047*('DATA INPUT'!H37*'DATA INPUT'!I37)^1.5456/1000,IF('DATA INPUT'!B37="V. ref",91930*('DATA INPUT'!H37*'DATA INPUT'!I37)^1.7774/1000,IF('DATA INPUT'!B37=1,62601*('DATA INPUT'!H37*'DATA INPUT'!I37)^1.6463/1000,IF('DATA INPUT'!B37=2,5.0562*('DATA INPUT'!H37*'DATA INPUT'!I37)^0.9574,FALSE)))))</f>
        <v>0</v>
      </c>
      <c r="F33" s="18" t="b">
        <f>IF('DATA INPUT'!B37="T. ser",0.0009*I33^0.4477,IF('DATA INPUT'!B37="S. mel",0.0000004*I33^1.4912/1000,IF('DATA INPUT'!B37="V. ref",0.00000005*I33^1.6284/1000,IF('DATA INPUT'!B37=1,0.0000007*I33^1.4601/1000,IF('DATA INPUT'!B37=2,0.0009*I33^0.4477,FALSE)))))</f>
        <v>0</v>
      </c>
      <c r="G33" s="57">
        <f t="shared" si="0"/>
        <v>0</v>
      </c>
      <c r="H33" s="57"/>
      <c r="I33" s="2" t="b">
        <f>IF('DATA INPUT'!B37="T. ser",3.142*'DATA INPUT'!N37^2*'DATA INPUT'!O37/3+3.142*'DATA INPUT'!P37^2/3*(3*'DATA INPUT'!N37-'DATA INPUT'!P37),IF('DATA INPUT'!B37="S. mel",3.142*'DATA INPUT'!N37^2*'DATA INPUT'!O37/3+3.142*'DATA INPUT'!P37^2/3*(3*'DATA INPUT'!N37-'DATA INPUT'!P37),IF('DATA INPUT'!B37="V. ref",3.142*'DATA INPUT'!N37^2*'DATA INPUT'!O37/3+3.142*'DATA INPUT'!P37^2/3*(3*'DATA INPUT'!N37-'DATA INPUT'!P37),IF('DATA INPUT'!B37=1,3.142*'DATA INPUT'!N37^2*'DATA INPUT'!O37/3+3.142*'DATA INPUT'!P37^2/3*(3*'DATA INPUT'!N37-'DATA INPUT'!P37),IF('DATA INPUT'!B37=2,3.142*'DATA INPUT'!N37^2*'DATA INPUT'!O37/3+3.142*'DATA INPUT'!P37^2/3*(3*'DATA INPUT'!N37-'DATA INPUT'!P37),FALSE)))))</f>
        <v>0</v>
      </c>
      <c r="J33" s="2" t="b">
        <f>IF('DATA INPUT'!B37="T. ser",0.0458*CALCULATIONS!I33^0.6841,IF('DATA INPUT'!B37="S. mel",0.6047*CALCULATIONS!I33^0.6433,IF('DATA INPUT'!B37="V. ref",0.77086*CALCULATIONS!I33^0.4936,IF('DATA INPUT'!B37=1,0.68778*CALCULATIONS!I33^0.56845,IF('DATA INPUT'!B37=2,0.0458*CALCULATIONS!I33^0.6841,FALSE)))))</f>
        <v>0</v>
      </c>
      <c r="K33" s="3">
        <f t="shared" si="1"/>
        <v>0</v>
      </c>
      <c r="L33" s="3" t="b">
        <f>IF('DATA INPUT'!B37="T. ser",('DATA INPUT'!D37+'DATA INPUT'!F37+'DATA INPUT'!H37+'DATA INPUT'!J37)/1.5,IF('DATA INPUT'!B37="V. ref",('DATA INPUT'!D37+'DATA INPUT'!F37+'DATA INPUT'!H37+'DATA INPUT'!J37)/1.5,IF('DATA INPUT'!B37="S. mel",('DATA INPUT'!D37+'DATA INPUT'!F37+'DATA INPUT'!H37+'DATA INPUT'!J37)/1.5,IF('DATA INPUT'!B37=1,('DATA INPUT'!D37+'DATA INPUT'!F37+'DATA INPUT'!H37+'DATA INPUT'!J37)/1.5,IF('DATA INPUT'!B37=2,('DATA INPUT'!D37+'DATA INPUT'!F37+'DATA INPUT'!H37+'DATA INPUT'!J37)/1.5,FALSE)))))</f>
        <v>0</v>
      </c>
      <c r="N33" s="16">
        <f>'DATA INPUT'!C37</f>
        <v>0</v>
      </c>
      <c r="O33" s="3" t="b">
        <f>IF('DATA INPUT'!B37="T. ser",0.3446*'DATA INPUT'!D37^1.0619,IF('DATA INPUT'!B37="S. mel",(1270.6*'DATA INPUT'!D37^2.0933)/1000,IF('DATA INPUT'!B37="V. ref",(816.25*'DATA INPUT'!D37^2.1754)/1000,IF('DATA INPUT'!B37=1,(1492.4*'DATA INPUT'!D37^1.7591)/1000,IF('DATA INPUT'!B37=2,0.3446*'DATA INPUT'!D37^1.0619,FALSE)))))</f>
        <v>0</v>
      </c>
      <c r="P33" s="3" t="b">
        <f>IF('DATA INPUT'!B37="T. ser",0.3662*'DATA INPUT'!E37^1.5061,IF('DATA INPUT'!B37="S. mel",(748.47*'DATA INPUT'!E37^2.2691)/1000,IF('DATA INPUT'!B37="V. ref",(953.69*'DATA INPUT'!E37^1.9524)/1000,IF('DATA INPUT'!B37=1,(695.02*'DATA INPUT'!E37^2.3452)/1000,IF('DATA INPUT'!B37=2,0.3662*'DATA INPUT'!E37^1.5061,FALSE)))))</f>
        <v>0</v>
      </c>
      <c r="Q33" s="3" t="b">
        <f>IF('DATA INPUT'!B37="T. ser",0.1225*('DATA INPUT'!F37*'DATA INPUT'!G37)^0.8272,IF('DATA INPUT'!B37="S. mel",(925.08*('DATA INPUT'!F37*'DATA INPUT'!G37)^1.1603)/1000,IF('DATA INPUT'!B37="V. ref",(776.29*('DATA INPUT'!F37*'DATA INPUT'!G37)^1.1226)/1000,IF('DATA INPUT'!B37=1,(884.6*('DATA INPUT'!F37*'DATA INPUT'!G37)^1.129)/1000,IF('DATA INPUT'!B37=2,0.1225*('DATA INPUT'!F37*'DATA INPUT'!G37)^0.8272,FALSE)))))</f>
        <v>0</v>
      </c>
      <c r="R33" s="3" t="b">
        <f>IF('DATA INPUT'!B37="T. ser",5.5287*('DATA INPUT'!H37*'DATA INPUT'!I37)^0.8272,IF('DATA INPUT'!B37="S. mel",(31469*('DATA INPUT'!H37*'DATA INPUT'!I37)^0.8608)/1000,IF('DATA INPUT'!B37="V. ref",(39394*('DATA INPUT'!H37*'DATA INPUT'!I37)^1.005)/1000,IF('DATA INPUT'!B37=1,(31791*('DATA INPUT'!H37*'DATA INPUT'!I37)^0.8467)/1000,IF('DATA INPUT'!B37=2,5.5287*('DATA INPUT'!H37*'DATA INPUT'!I37)^0.8272,FALSE)))))</f>
        <v>0</v>
      </c>
      <c r="S33" s="3" t="b">
        <f>IF('DATA INPUT'!B37="T. ser",0.0005*I33^0.5148,IF('DATA INPUT'!B37="S. mel",0.051*I33^0.7789/1000,IF('DATA INPUT'!B37="V. ref",0.0958*I33^0.7253/1000,IF('DATA INPUT'!B37=1,0.0426*I33^0.786/1000,IF('DATA INPUT'!B37=2,0.0005*I33^0.5148,FALSE)))))</f>
        <v>0</v>
      </c>
      <c r="T33" s="59">
        <f t="shared" si="2"/>
        <v>0</v>
      </c>
      <c r="AB33" s="1">
        <f>'DATA INPUT'!Q37</f>
        <v>0</v>
      </c>
      <c r="AC33" s="2">
        <f>COUNTIF('DATA INPUT'!$C$7:$C$156,'DATA INPUT'!Q37)</f>
        <v>0</v>
      </c>
      <c r="AD33" s="2" t="e">
        <f>AC33*10000/RESULTS_REPORT!$C$18</f>
        <v>#DIV/0!</v>
      </c>
      <c r="AE33" s="2">
        <f t="shared" si="3"/>
        <v>0</v>
      </c>
      <c r="AF33" s="2" t="e">
        <f>AE33*10000/RESULTS_REPORT!$C$18</f>
        <v>#DIV/0!</v>
      </c>
      <c r="AG33" s="2">
        <f t="shared" si="4"/>
        <v>0</v>
      </c>
      <c r="AH33" s="2" t="e">
        <f>AG33*10000/RESULTS_REPORT!$C$18</f>
        <v>#DIV/0!</v>
      </c>
      <c r="AJ33" s="3">
        <f t="shared" si="5"/>
        <v>0</v>
      </c>
      <c r="AK33" s="2" t="e">
        <f>AJ33*10000/RESULTS_REPORT!$C$18</f>
        <v>#DIV/0!</v>
      </c>
      <c r="AL33" s="2">
        <f t="shared" si="6"/>
        <v>0</v>
      </c>
      <c r="AM33" s="3" t="e">
        <f>AL33*10000/RESULTS_REPORT!$C$18</f>
        <v>#DIV/0!</v>
      </c>
      <c r="AN33" s="3"/>
    </row>
    <row r="34" spans="1:40" x14ac:dyDescent="0.2">
      <c r="A34" s="16">
        <f>'DATA INPUT'!C38</f>
        <v>0</v>
      </c>
      <c r="B34" s="11" t="b">
        <f>IF('DATA INPUT'!B38="T. ser",0.1656*'DATA INPUT'!D38^1.4655,IF('DATA INPUT'!B38="S. mel",135.53*'DATA INPUT'!D38^3.8701/1000,IF('DATA INPUT'!B38="V. ref",143.01*'DATA INPUT'!D38^3.3147/1000,IF('DATA INPUT'!B38=1,143.35*'DATA INPUT'!D38^3.6046/1000,IF('DATA INPUT'!B38=2,0.1656*'DATA INPUT'!D38^1.4655,FALSE)))))</f>
        <v>0</v>
      </c>
      <c r="C34" s="8" t="b">
        <f>IF('DATA INPUT'!B38="T. ser",0.3356*'DATA INPUT'!E38^0.9984,IF('DATA INPUT'!B38="S. mel",24.906*'DATA INPUT'!E38^4.7681/1000,IF('DATA INPUT'!B38="V. ref",118.45*'DATA INPUT'!E38^3.5959/1000,IF('DATA INPUT'!B38=1,55.075*'DATA INPUT'!E38^4.0991/1000,IF('DATA INPUT'!B38=2,0.3356*'DATA INPUT'!E38^0.9984,FALSE)))))</f>
        <v>0</v>
      </c>
      <c r="D34" s="18" t="b">
        <f>IF('DATA INPUT'!B38="T. ser",0.0615*('DATA INPUT'!F38*'DATA INPUT'!G38)^0.9573,IF('DATA INPUT'!B38="S. mel",46.162*('DATA INPUT'!F38*'DATA INPUT'!G38)^2.3652/1000,IF('DATA INPUT'!B38="V. ref",90.34*('DATA INPUT'!F38*'DATA INPUT'!G38)^1.9756/1000,IF('DATA INPUT'!B38=1,63.022*('DATA INPUT'!F38*'DATA INPUT'!G38)^2.1551/1000,IF('DATA INPUT'!B38=2,0.0615*('DATA INPUT'!F38*'DATA INPUT'!G38)^0.9573,FALSE)))))</f>
        <v>0</v>
      </c>
      <c r="E34" s="8" t="b">
        <f>IF('DATA INPUT'!B38="T. ser",5.0562*('DATA INPUT'!H38*'DATA INPUT'!I38)^0.9574,IF('DATA INPUT'!B38="S. mel",44047*('DATA INPUT'!H38*'DATA INPUT'!I38)^1.5456/1000,IF('DATA INPUT'!B38="V. ref",91930*('DATA INPUT'!H38*'DATA INPUT'!I38)^1.7774/1000,IF('DATA INPUT'!B38=1,62601*('DATA INPUT'!H38*'DATA INPUT'!I38)^1.6463/1000,IF('DATA INPUT'!B38=2,5.0562*('DATA INPUT'!H38*'DATA INPUT'!I38)^0.9574,FALSE)))))</f>
        <v>0</v>
      </c>
      <c r="F34" s="18" t="b">
        <f>IF('DATA INPUT'!B38="T. ser",0.0009*I34^0.4477,IF('DATA INPUT'!B38="S. mel",0.0000004*I34^1.4912/1000,IF('DATA INPUT'!B38="V. ref",0.00000005*I34^1.6284/1000,IF('DATA INPUT'!B38=1,0.0000007*I34^1.4601/1000,IF('DATA INPUT'!B38=2,0.0009*I34^0.4477,FALSE)))))</f>
        <v>0</v>
      </c>
      <c r="G34" s="57">
        <f t="shared" si="0"/>
        <v>0</v>
      </c>
      <c r="H34" s="57"/>
      <c r="I34" s="2" t="b">
        <f>IF('DATA INPUT'!B38="T. ser",3.142*'DATA INPUT'!N38^2*'DATA INPUT'!O38/3+3.142*'DATA INPUT'!P38^2/3*(3*'DATA INPUT'!N38-'DATA INPUT'!P38),IF('DATA INPUT'!B38="S. mel",3.142*'DATA INPUT'!N38^2*'DATA INPUT'!O38/3+3.142*'DATA INPUT'!P38^2/3*(3*'DATA INPUT'!N38-'DATA INPUT'!P38),IF('DATA INPUT'!B38="V. ref",3.142*'DATA INPUT'!N38^2*'DATA INPUT'!O38/3+3.142*'DATA INPUT'!P38^2/3*(3*'DATA INPUT'!N38-'DATA INPUT'!P38),IF('DATA INPUT'!B38=1,3.142*'DATA INPUT'!N38^2*'DATA INPUT'!O38/3+3.142*'DATA INPUT'!P38^2/3*(3*'DATA INPUT'!N38-'DATA INPUT'!P38),IF('DATA INPUT'!B38=2,3.142*'DATA INPUT'!N38^2*'DATA INPUT'!O38/3+3.142*'DATA INPUT'!P38^2/3*(3*'DATA INPUT'!N38-'DATA INPUT'!P38),FALSE)))))</f>
        <v>0</v>
      </c>
      <c r="J34" s="2" t="b">
        <f>IF('DATA INPUT'!B38="T. ser",0.0458*CALCULATIONS!I34^0.6841,IF('DATA INPUT'!B38="S. mel",0.6047*CALCULATIONS!I34^0.6433,IF('DATA INPUT'!B38="V. ref",0.77086*CALCULATIONS!I34^0.4936,IF('DATA INPUT'!B38=1,0.68778*CALCULATIONS!I34^0.56845,IF('DATA INPUT'!B38=2,0.0458*CALCULATIONS!I34^0.6841,FALSE)))))</f>
        <v>0</v>
      </c>
      <c r="K34" s="3">
        <f t="shared" si="1"/>
        <v>0</v>
      </c>
      <c r="L34" s="3" t="b">
        <f>IF('DATA INPUT'!B38="T. ser",('DATA INPUT'!D38+'DATA INPUT'!F38+'DATA INPUT'!H38+'DATA INPUT'!J38)/1.5,IF('DATA INPUT'!B38="V. ref",('DATA INPUT'!D38+'DATA INPUT'!F38+'DATA INPUT'!H38+'DATA INPUT'!J38)/1.5,IF('DATA INPUT'!B38="S. mel",('DATA INPUT'!D38+'DATA INPUT'!F38+'DATA INPUT'!H38+'DATA INPUT'!J38)/1.5,IF('DATA INPUT'!B38=1,('DATA INPUT'!D38+'DATA INPUT'!F38+'DATA INPUT'!H38+'DATA INPUT'!J38)/1.5,IF('DATA INPUT'!B38=2,('DATA INPUT'!D38+'DATA INPUT'!F38+'DATA INPUT'!H38+'DATA INPUT'!J38)/1.5,FALSE)))))</f>
        <v>0</v>
      </c>
      <c r="N34" s="16">
        <f>'DATA INPUT'!C38</f>
        <v>0</v>
      </c>
      <c r="O34" s="3" t="b">
        <f>IF('DATA INPUT'!B38="T. ser",0.3446*'DATA INPUT'!D38^1.0619,IF('DATA INPUT'!B38="S. mel",(1270.6*'DATA INPUT'!D38^2.0933)/1000,IF('DATA INPUT'!B38="V. ref",(816.25*'DATA INPUT'!D38^2.1754)/1000,IF('DATA INPUT'!B38=1,(1492.4*'DATA INPUT'!D38^1.7591)/1000,IF('DATA INPUT'!B38=2,0.3446*'DATA INPUT'!D38^1.0619,FALSE)))))</f>
        <v>0</v>
      </c>
      <c r="P34" s="3" t="b">
        <f>IF('DATA INPUT'!B38="T. ser",0.3662*'DATA INPUT'!E38^1.5061,IF('DATA INPUT'!B38="S. mel",(748.47*'DATA INPUT'!E38^2.2691)/1000,IF('DATA INPUT'!B38="V. ref",(953.69*'DATA INPUT'!E38^1.9524)/1000,IF('DATA INPUT'!B38=1,(695.02*'DATA INPUT'!E38^2.3452)/1000,IF('DATA INPUT'!B38=2,0.3662*'DATA INPUT'!E38^1.5061,FALSE)))))</f>
        <v>0</v>
      </c>
      <c r="Q34" s="3" t="b">
        <f>IF('DATA INPUT'!B38="T. ser",0.1225*('DATA INPUT'!F38*'DATA INPUT'!G38)^0.8272,IF('DATA INPUT'!B38="S. mel",(925.08*('DATA INPUT'!F38*'DATA INPUT'!G38)^1.1603)/1000,IF('DATA INPUT'!B38="V. ref",(776.29*('DATA INPUT'!F38*'DATA INPUT'!G38)^1.1226)/1000,IF('DATA INPUT'!B38=1,(884.6*('DATA INPUT'!F38*'DATA INPUT'!G38)^1.129)/1000,IF('DATA INPUT'!B38=2,0.1225*('DATA INPUT'!F38*'DATA INPUT'!G38)^0.8272,FALSE)))))</f>
        <v>0</v>
      </c>
      <c r="R34" s="3" t="b">
        <f>IF('DATA INPUT'!B38="T. ser",5.5287*('DATA INPUT'!H38*'DATA INPUT'!I38)^0.8272,IF('DATA INPUT'!B38="S. mel",(31469*('DATA INPUT'!H38*'DATA INPUT'!I38)^0.8608)/1000,IF('DATA INPUT'!B38="V. ref",(39394*('DATA INPUT'!H38*'DATA INPUT'!I38)^1.005)/1000,IF('DATA INPUT'!B38=1,(31791*('DATA INPUT'!H38*'DATA INPUT'!I38)^0.8467)/1000,IF('DATA INPUT'!B38=2,5.5287*('DATA INPUT'!H38*'DATA INPUT'!I38)^0.8272,FALSE)))))</f>
        <v>0</v>
      </c>
      <c r="S34" s="3" t="b">
        <f>IF('DATA INPUT'!B38="T. ser",0.0005*I34^0.5148,IF('DATA INPUT'!B38="S. mel",0.051*I34^0.7789/1000,IF('DATA INPUT'!B38="V. ref",0.0958*I34^0.7253/1000,IF('DATA INPUT'!B38=1,0.0426*I34^0.786/1000,IF('DATA INPUT'!B38=2,0.0005*I34^0.5148,FALSE)))))</f>
        <v>0</v>
      </c>
      <c r="T34" s="59">
        <f t="shared" si="2"/>
        <v>0</v>
      </c>
      <c r="AB34">
        <f>'DATA INPUT'!Q38</f>
        <v>0</v>
      </c>
      <c r="AC34" s="2">
        <f>COUNTIF('DATA INPUT'!$C$7:$C$156,'DATA INPUT'!Q38)</f>
        <v>0</v>
      </c>
      <c r="AD34" s="2" t="e">
        <f>AC34*10000/RESULTS_REPORT!$C$18</f>
        <v>#DIV/0!</v>
      </c>
      <c r="AE34" s="2">
        <f t="shared" si="3"/>
        <v>0</v>
      </c>
      <c r="AF34" s="2" t="e">
        <f>AE34*10000/RESULTS_REPORT!$C$18</f>
        <v>#DIV/0!</v>
      </c>
      <c r="AG34" s="2">
        <f t="shared" si="4"/>
        <v>0</v>
      </c>
      <c r="AH34" s="2" t="e">
        <f>AG34*10000/RESULTS_REPORT!$C$18</f>
        <v>#DIV/0!</v>
      </c>
      <c r="AJ34" s="3">
        <f t="shared" si="5"/>
        <v>0</v>
      </c>
      <c r="AK34" s="2" t="e">
        <f>AJ34*10000/RESULTS_REPORT!$C$18</f>
        <v>#DIV/0!</v>
      </c>
      <c r="AL34" s="2">
        <f t="shared" si="6"/>
        <v>0</v>
      </c>
      <c r="AM34" s="3" t="e">
        <f>AL34*10000/RESULTS_REPORT!$C$18</f>
        <v>#DIV/0!</v>
      </c>
      <c r="AN34" s="3"/>
    </row>
    <row r="35" spans="1:40" x14ac:dyDescent="0.2">
      <c r="A35" s="16">
        <f>'DATA INPUT'!C39</f>
        <v>0</v>
      </c>
      <c r="B35" s="11" t="b">
        <f>IF('DATA INPUT'!B39="T. ser",0.1656*'DATA INPUT'!D39^1.4655,IF('DATA INPUT'!B39="S. mel",135.53*'DATA INPUT'!D39^3.8701/1000,IF('DATA INPUT'!B39="V. ref",143.01*'DATA INPUT'!D39^3.3147/1000,IF('DATA INPUT'!B39=1,143.35*'DATA INPUT'!D39^3.6046/1000,IF('DATA INPUT'!B39=2,0.1656*'DATA INPUT'!D39^1.4655,FALSE)))))</f>
        <v>0</v>
      </c>
      <c r="C35" s="8" t="b">
        <f>IF('DATA INPUT'!B39="T. ser",0.3356*'DATA INPUT'!E39^0.9984,IF('DATA INPUT'!B39="S. mel",24.906*'DATA INPUT'!E39^4.7681/1000,IF('DATA INPUT'!B39="V. ref",118.45*'DATA INPUT'!E39^3.5959/1000,IF('DATA INPUT'!B39=1,55.075*'DATA INPUT'!E39^4.0991/1000,IF('DATA INPUT'!B39=2,0.3356*'DATA INPUT'!E39^0.9984,FALSE)))))</f>
        <v>0</v>
      </c>
      <c r="D35" s="18" t="b">
        <f>IF('DATA INPUT'!B39="T. ser",0.0615*('DATA INPUT'!F39*'DATA INPUT'!G39)^0.9573,IF('DATA INPUT'!B39="S. mel",46.162*('DATA INPUT'!F39*'DATA INPUT'!G39)^2.3652/1000,IF('DATA INPUT'!B39="V. ref",90.34*('DATA INPUT'!F39*'DATA INPUT'!G39)^1.9756/1000,IF('DATA INPUT'!B39=1,63.022*('DATA INPUT'!F39*'DATA INPUT'!G39)^2.1551/1000,IF('DATA INPUT'!B39=2,0.0615*('DATA INPUT'!F39*'DATA INPUT'!G39)^0.9573,FALSE)))))</f>
        <v>0</v>
      </c>
      <c r="E35" s="8" t="b">
        <f>IF('DATA INPUT'!B39="T. ser",5.0562*('DATA INPUT'!H39*'DATA INPUT'!I39)^0.9574,IF('DATA INPUT'!B39="S. mel",44047*('DATA INPUT'!H39*'DATA INPUT'!I39)^1.5456/1000,IF('DATA INPUT'!B39="V. ref",91930*('DATA INPUT'!H39*'DATA INPUT'!I39)^1.7774/1000,IF('DATA INPUT'!B39=1,62601*('DATA INPUT'!H39*'DATA INPUT'!I39)^1.6463/1000,IF('DATA INPUT'!B39=2,5.0562*('DATA INPUT'!H39*'DATA INPUT'!I39)^0.9574,FALSE)))))</f>
        <v>0</v>
      </c>
      <c r="F35" s="18" t="b">
        <f>IF('DATA INPUT'!B39="T. ser",0.0009*I35^0.4477,IF('DATA INPUT'!B39="S. mel",0.0000004*I35^1.4912/1000,IF('DATA INPUT'!B39="V. ref",0.00000005*I35^1.6284/1000,IF('DATA INPUT'!B39=1,0.0000007*I35^1.4601/1000,IF('DATA INPUT'!B39=2,0.0009*I35^0.4477,FALSE)))))</f>
        <v>0</v>
      </c>
      <c r="G35" s="57">
        <f t="shared" si="0"/>
        <v>0</v>
      </c>
      <c r="H35" s="57"/>
      <c r="I35" s="2" t="b">
        <f>IF('DATA INPUT'!B39="T. ser",3.142*'DATA INPUT'!N39^2*'DATA INPUT'!O39/3+3.142*'DATA INPUT'!P39^2/3*(3*'DATA INPUT'!N39-'DATA INPUT'!P39),IF('DATA INPUT'!B39="S. mel",3.142*'DATA INPUT'!N39^2*'DATA INPUT'!O39/3+3.142*'DATA INPUT'!P39^2/3*(3*'DATA INPUT'!N39-'DATA INPUT'!P39),IF('DATA INPUT'!B39="V. ref",3.142*'DATA INPUT'!N39^2*'DATA INPUT'!O39/3+3.142*'DATA INPUT'!P39^2/3*(3*'DATA INPUT'!N39-'DATA INPUT'!P39),IF('DATA INPUT'!B39=1,3.142*'DATA INPUT'!N39^2*'DATA INPUT'!O39/3+3.142*'DATA INPUT'!P39^2/3*(3*'DATA INPUT'!N39-'DATA INPUT'!P39),IF('DATA INPUT'!B39=2,3.142*'DATA INPUT'!N39^2*'DATA INPUT'!O39/3+3.142*'DATA INPUT'!P39^2/3*(3*'DATA INPUT'!N39-'DATA INPUT'!P39),FALSE)))))</f>
        <v>0</v>
      </c>
      <c r="J35" s="2" t="b">
        <f>IF('DATA INPUT'!B39="T. ser",0.0458*CALCULATIONS!I35^0.6841,IF('DATA INPUT'!B39="S. mel",0.6047*CALCULATIONS!I35^0.6433,IF('DATA INPUT'!B39="V. ref",0.77086*CALCULATIONS!I35^0.4936,IF('DATA INPUT'!B39=1,0.68778*CALCULATIONS!I35^0.56845,IF('DATA INPUT'!B39=2,0.0458*CALCULATIONS!I35^0.6841,FALSE)))))</f>
        <v>0</v>
      </c>
      <c r="K35" s="3">
        <f t="shared" si="1"/>
        <v>0</v>
      </c>
      <c r="L35" s="3" t="b">
        <f>IF('DATA INPUT'!B39="T. ser",('DATA INPUT'!D39+'DATA INPUT'!F39+'DATA INPUT'!H39+'DATA INPUT'!J39)/1.5,IF('DATA INPUT'!B39="V. ref",('DATA INPUT'!D39+'DATA INPUT'!F39+'DATA INPUT'!H39+'DATA INPUT'!J39)/1.5,IF('DATA INPUT'!B39="S. mel",('DATA INPUT'!D39+'DATA INPUT'!F39+'DATA INPUT'!H39+'DATA INPUT'!J39)/1.5,IF('DATA INPUT'!B39=1,('DATA INPUT'!D39+'DATA INPUT'!F39+'DATA INPUT'!H39+'DATA INPUT'!J39)/1.5,IF('DATA INPUT'!B39=2,('DATA INPUT'!D39+'DATA INPUT'!F39+'DATA INPUT'!H39+'DATA INPUT'!J39)/1.5,FALSE)))))</f>
        <v>0</v>
      </c>
      <c r="N35" s="16">
        <f>'DATA INPUT'!C39</f>
        <v>0</v>
      </c>
      <c r="O35" s="3" t="b">
        <f>IF('DATA INPUT'!B39="T. ser",0.3446*'DATA INPUT'!D39^1.0619,IF('DATA INPUT'!B39="S. mel",(1270.6*'DATA INPUT'!D39^2.0933)/1000,IF('DATA INPUT'!B39="V. ref",(816.25*'DATA INPUT'!D39^2.1754)/1000,IF('DATA INPUT'!B39=1,(1492.4*'DATA INPUT'!D39^1.7591)/1000,IF('DATA INPUT'!B39=2,0.3446*'DATA INPUT'!D39^1.0619,FALSE)))))</f>
        <v>0</v>
      </c>
      <c r="P35" s="3" t="b">
        <f>IF('DATA INPUT'!B39="T. ser",0.3662*'DATA INPUT'!E39^1.5061,IF('DATA INPUT'!B39="S. mel",(748.47*'DATA INPUT'!E39^2.2691)/1000,IF('DATA INPUT'!B39="V. ref",(953.69*'DATA INPUT'!E39^1.9524)/1000,IF('DATA INPUT'!B39=1,(695.02*'DATA INPUT'!E39^2.3452)/1000,IF('DATA INPUT'!B39=2,0.3662*'DATA INPUT'!E39^1.5061,FALSE)))))</f>
        <v>0</v>
      </c>
      <c r="Q35" s="3" t="b">
        <f>IF('DATA INPUT'!B39="T. ser",0.1225*('DATA INPUT'!F39*'DATA INPUT'!G39)^0.8272,IF('DATA INPUT'!B39="S. mel",(925.08*('DATA INPUT'!F39*'DATA INPUT'!G39)^1.1603)/1000,IF('DATA INPUT'!B39="V. ref",(776.29*('DATA INPUT'!F39*'DATA INPUT'!G39)^1.1226)/1000,IF('DATA INPUT'!B39=1,(884.6*('DATA INPUT'!F39*'DATA INPUT'!G39)^1.129)/1000,IF('DATA INPUT'!B39=2,0.1225*('DATA INPUT'!F39*'DATA INPUT'!G39)^0.8272,FALSE)))))</f>
        <v>0</v>
      </c>
      <c r="R35" s="3" t="b">
        <f>IF('DATA INPUT'!B39="T. ser",5.5287*('DATA INPUT'!H39*'DATA INPUT'!I39)^0.8272,IF('DATA INPUT'!B39="S. mel",(31469*('DATA INPUT'!H39*'DATA INPUT'!I39)^0.8608)/1000,IF('DATA INPUT'!B39="V. ref",(39394*('DATA INPUT'!H39*'DATA INPUT'!I39)^1.005)/1000,IF('DATA INPUT'!B39=1,(31791*('DATA INPUT'!H39*'DATA INPUT'!I39)^0.8467)/1000,IF('DATA INPUT'!B39=2,5.5287*('DATA INPUT'!H39*'DATA INPUT'!I39)^0.8272,FALSE)))))</f>
        <v>0</v>
      </c>
      <c r="S35" s="3" t="b">
        <f>IF('DATA INPUT'!B39="T. ser",0.0005*I35^0.5148,IF('DATA INPUT'!B39="S. mel",0.051*I35^0.7789/1000,IF('DATA INPUT'!B39="V. ref",0.0958*I35^0.7253/1000,IF('DATA INPUT'!B39=1,0.0426*I35^0.786/1000,IF('DATA INPUT'!B39=2,0.0005*I35^0.5148,FALSE)))))</f>
        <v>0</v>
      </c>
      <c r="T35" s="59">
        <f t="shared" si="2"/>
        <v>0</v>
      </c>
      <c r="AB35" s="1">
        <f>'DATA INPUT'!Q39</f>
        <v>0</v>
      </c>
      <c r="AC35" s="2">
        <f>COUNTIF('DATA INPUT'!$C$7:$C$156,'DATA INPUT'!Q39)</f>
        <v>0</v>
      </c>
      <c r="AD35" s="2" t="e">
        <f>AC35*10000/RESULTS_REPORT!$C$18</f>
        <v>#DIV/0!</v>
      </c>
      <c r="AE35" s="2">
        <f t="shared" si="3"/>
        <v>0</v>
      </c>
      <c r="AF35" s="2" t="e">
        <f>AE35*10000/RESULTS_REPORT!$C$18</f>
        <v>#DIV/0!</v>
      </c>
      <c r="AG35" s="2">
        <f t="shared" si="4"/>
        <v>0</v>
      </c>
      <c r="AH35" s="2" t="e">
        <f>AG35*10000/RESULTS_REPORT!$C$18</f>
        <v>#DIV/0!</v>
      </c>
      <c r="AJ35" s="3">
        <f t="shared" si="5"/>
        <v>0</v>
      </c>
      <c r="AK35" s="2" t="e">
        <f>AJ35*10000/RESULTS_REPORT!$C$18</f>
        <v>#DIV/0!</v>
      </c>
      <c r="AL35" s="2">
        <f t="shared" si="6"/>
        <v>0</v>
      </c>
      <c r="AM35" s="3" t="e">
        <f>AL35*10000/RESULTS_REPORT!$C$18</f>
        <v>#DIV/0!</v>
      </c>
      <c r="AN35" s="3"/>
    </row>
    <row r="36" spans="1:40" x14ac:dyDescent="0.2">
      <c r="A36" s="16">
        <f>'DATA INPUT'!C40</f>
        <v>0</v>
      </c>
      <c r="B36" s="11" t="b">
        <f>IF('DATA INPUT'!B40="T. ser",0.1656*'DATA INPUT'!D40^1.4655,IF('DATA INPUT'!B40="S. mel",135.53*'DATA INPUT'!D40^3.8701/1000,IF('DATA INPUT'!B40="V. ref",143.01*'DATA INPUT'!D40^3.3147/1000,IF('DATA INPUT'!B40=1,143.35*'DATA INPUT'!D40^3.6046/1000,IF('DATA INPUT'!B40=2,0.1656*'DATA INPUT'!D40^1.4655,FALSE)))))</f>
        <v>0</v>
      </c>
      <c r="C36" s="8" t="b">
        <f>IF('DATA INPUT'!B40="T. ser",0.3356*'DATA INPUT'!E40^0.9984,IF('DATA INPUT'!B40="S. mel",24.906*'DATA INPUT'!E40^4.7681/1000,IF('DATA INPUT'!B40="V. ref",118.45*'DATA INPUT'!E40^3.5959/1000,IF('DATA INPUT'!B40=1,55.075*'DATA INPUT'!E40^4.0991/1000,IF('DATA INPUT'!B40=2,0.3356*'DATA INPUT'!E40^0.9984,FALSE)))))</f>
        <v>0</v>
      </c>
      <c r="D36" s="18" t="b">
        <f>IF('DATA INPUT'!B40="T. ser",0.0615*('DATA INPUT'!F40*'DATA INPUT'!G40)^0.9573,IF('DATA INPUT'!B40="S. mel",46.162*('DATA INPUT'!F40*'DATA INPUT'!G40)^2.3652/1000,IF('DATA INPUT'!B40="V. ref",90.34*('DATA INPUT'!F40*'DATA INPUT'!G40)^1.9756/1000,IF('DATA INPUT'!B40=1,63.022*('DATA INPUT'!F40*'DATA INPUT'!G40)^2.1551/1000,IF('DATA INPUT'!B40=2,0.0615*('DATA INPUT'!F40*'DATA INPUT'!G40)^0.9573,FALSE)))))</f>
        <v>0</v>
      </c>
      <c r="E36" s="8" t="b">
        <f>IF('DATA INPUT'!B40="T. ser",5.0562*('DATA INPUT'!H40*'DATA INPUT'!I40)^0.9574,IF('DATA INPUT'!B40="S. mel",44047*('DATA INPUT'!H40*'DATA INPUT'!I40)^1.5456/1000,IF('DATA INPUT'!B40="V. ref",91930*('DATA INPUT'!H40*'DATA INPUT'!I40)^1.7774/1000,IF('DATA INPUT'!B40=1,62601*('DATA INPUT'!H40*'DATA INPUT'!I40)^1.6463/1000,IF('DATA INPUT'!B40=2,5.0562*('DATA INPUT'!H40*'DATA INPUT'!I40)^0.9574,FALSE)))))</f>
        <v>0</v>
      </c>
      <c r="F36" s="18" t="b">
        <f>IF('DATA INPUT'!B40="T. ser",0.0009*I36^0.4477,IF('DATA INPUT'!B40="S. mel",0.0000004*I36^1.4912/1000,IF('DATA INPUT'!B40="V. ref",0.00000005*I36^1.6284/1000,IF('DATA INPUT'!B40=1,0.0000007*I36^1.4601/1000,IF('DATA INPUT'!B40=2,0.0009*I36^0.4477,FALSE)))))</f>
        <v>0</v>
      </c>
      <c r="G36" s="57">
        <f t="shared" si="0"/>
        <v>0</v>
      </c>
      <c r="H36" s="57"/>
      <c r="I36" s="2" t="b">
        <f>IF('DATA INPUT'!B40="T. ser",3.142*'DATA INPUT'!N40^2*'DATA INPUT'!O40/3+3.142*'DATA INPUT'!P40^2/3*(3*'DATA INPUT'!N40-'DATA INPUT'!P40),IF('DATA INPUT'!B40="S. mel",3.142*'DATA INPUT'!N40^2*'DATA INPUT'!O40/3+3.142*'DATA INPUT'!P40^2/3*(3*'DATA INPUT'!N40-'DATA INPUT'!P40),IF('DATA INPUT'!B40="V. ref",3.142*'DATA INPUT'!N40^2*'DATA INPUT'!O40/3+3.142*'DATA INPUT'!P40^2/3*(3*'DATA INPUT'!N40-'DATA INPUT'!P40),IF('DATA INPUT'!B40=1,3.142*'DATA INPUT'!N40^2*'DATA INPUT'!O40/3+3.142*'DATA INPUT'!P40^2/3*(3*'DATA INPUT'!N40-'DATA INPUT'!P40),IF('DATA INPUT'!B40=2,3.142*'DATA INPUT'!N40^2*'DATA INPUT'!O40/3+3.142*'DATA INPUT'!P40^2/3*(3*'DATA INPUT'!N40-'DATA INPUT'!P40),FALSE)))))</f>
        <v>0</v>
      </c>
      <c r="J36" s="2" t="b">
        <f>IF('DATA INPUT'!B40="T. ser",0.0458*CALCULATIONS!I36^0.6841,IF('DATA INPUT'!B40="S. mel",0.6047*CALCULATIONS!I36^0.6433,IF('DATA INPUT'!B40="V. ref",0.77086*CALCULATIONS!I36^0.4936,IF('DATA INPUT'!B40=1,0.68778*CALCULATIONS!I36^0.56845,IF('DATA INPUT'!B40=2,0.0458*CALCULATIONS!I36^0.6841,FALSE)))))</f>
        <v>0</v>
      </c>
      <c r="K36" s="3">
        <f t="shared" si="1"/>
        <v>0</v>
      </c>
      <c r="L36" s="3" t="b">
        <f>IF('DATA INPUT'!B40="T. ser",('DATA INPUT'!D40+'DATA INPUT'!F40+'DATA INPUT'!H40+'DATA INPUT'!J40)/1.5,IF('DATA INPUT'!B40="V. ref",('DATA INPUT'!D40+'DATA INPUT'!F40+'DATA INPUT'!H40+'DATA INPUT'!J40)/1.5,IF('DATA INPUT'!B40="S. mel",('DATA INPUT'!D40+'DATA INPUT'!F40+'DATA INPUT'!H40+'DATA INPUT'!J40)/1.5,IF('DATA INPUT'!B40=1,('DATA INPUT'!D40+'DATA INPUT'!F40+'DATA INPUT'!H40+'DATA INPUT'!J40)/1.5,IF('DATA INPUT'!B40=2,('DATA INPUT'!D40+'DATA INPUT'!F40+'DATA INPUT'!H40+'DATA INPUT'!J40)/1.5,FALSE)))))</f>
        <v>0</v>
      </c>
      <c r="N36" s="16">
        <f>'DATA INPUT'!C40</f>
        <v>0</v>
      </c>
      <c r="O36" s="3" t="b">
        <f>IF('DATA INPUT'!B40="T. ser",0.3446*'DATA INPUT'!D40^1.0619,IF('DATA INPUT'!B40="S. mel",(1270.6*'DATA INPUT'!D40^2.0933)/1000,IF('DATA INPUT'!B40="V. ref",(816.25*'DATA INPUT'!D40^2.1754)/1000,IF('DATA INPUT'!B40=1,(1492.4*'DATA INPUT'!D40^1.7591)/1000,IF('DATA INPUT'!B40=2,0.3446*'DATA INPUT'!D40^1.0619,FALSE)))))</f>
        <v>0</v>
      </c>
      <c r="P36" s="3" t="b">
        <f>IF('DATA INPUT'!B40="T. ser",0.3662*'DATA INPUT'!E40^1.5061,IF('DATA INPUT'!B40="S. mel",(748.47*'DATA INPUT'!E40^2.2691)/1000,IF('DATA INPUT'!B40="V. ref",(953.69*'DATA INPUT'!E40^1.9524)/1000,IF('DATA INPUT'!B40=1,(695.02*'DATA INPUT'!E40^2.3452)/1000,IF('DATA INPUT'!B40=2,0.3662*'DATA INPUT'!E40^1.5061,FALSE)))))</f>
        <v>0</v>
      </c>
      <c r="Q36" s="3" t="b">
        <f>IF('DATA INPUT'!B40="T. ser",0.1225*('DATA INPUT'!F40*'DATA INPUT'!G40)^0.8272,IF('DATA INPUT'!B40="S. mel",(925.08*('DATA INPUT'!F40*'DATA INPUT'!G40)^1.1603)/1000,IF('DATA INPUT'!B40="V. ref",(776.29*('DATA INPUT'!F40*'DATA INPUT'!G40)^1.1226)/1000,IF('DATA INPUT'!B40=1,(884.6*('DATA INPUT'!F40*'DATA INPUT'!G40)^1.129)/1000,IF('DATA INPUT'!B40=2,0.1225*('DATA INPUT'!F40*'DATA INPUT'!G40)^0.8272,FALSE)))))</f>
        <v>0</v>
      </c>
      <c r="R36" s="3" t="b">
        <f>IF('DATA INPUT'!B40="T. ser",5.5287*('DATA INPUT'!H40*'DATA INPUT'!I40)^0.8272,IF('DATA INPUT'!B40="S. mel",(31469*('DATA INPUT'!H40*'DATA INPUT'!I40)^0.8608)/1000,IF('DATA INPUT'!B40="V. ref",(39394*('DATA INPUT'!H40*'DATA INPUT'!I40)^1.005)/1000,IF('DATA INPUT'!B40=1,(31791*('DATA INPUT'!H40*'DATA INPUT'!I40)^0.8467)/1000,IF('DATA INPUT'!B40=2,5.5287*('DATA INPUT'!H40*'DATA INPUT'!I40)^0.8272,FALSE)))))</f>
        <v>0</v>
      </c>
      <c r="S36" s="3" t="b">
        <f>IF('DATA INPUT'!B40="T. ser",0.0005*I36^0.5148,IF('DATA INPUT'!B40="S. mel",0.051*I36^0.7789/1000,IF('DATA INPUT'!B40="V. ref",0.0958*I36^0.7253/1000,IF('DATA INPUT'!B40=1,0.0426*I36^0.786/1000,IF('DATA INPUT'!B40=2,0.0005*I36^0.5148,FALSE)))))</f>
        <v>0</v>
      </c>
      <c r="T36" s="59">
        <f t="shared" si="2"/>
        <v>0</v>
      </c>
      <c r="AB36">
        <f>'DATA INPUT'!Q40</f>
        <v>0</v>
      </c>
      <c r="AC36" s="2">
        <f>COUNTIF('DATA INPUT'!$C$7:$C$156,'DATA INPUT'!Q40)</f>
        <v>0</v>
      </c>
      <c r="AD36" s="2" t="e">
        <f>AC36*10000/RESULTS_REPORT!$C$18</f>
        <v>#DIV/0!</v>
      </c>
      <c r="AE36" s="2">
        <f t="shared" si="3"/>
        <v>0</v>
      </c>
      <c r="AF36" s="2" t="e">
        <f>AE36*10000/RESULTS_REPORT!$C$18</f>
        <v>#DIV/0!</v>
      </c>
      <c r="AG36" s="2">
        <f t="shared" si="4"/>
        <v>0</v>
      </c>
      <c r="AH36" s="2" t="e">
        <f>AG36*10000/RESULTS_REPORT!$C$18</f>
        <v>#DIV/0!</v>
      </c>
      <c r="AJ36" s="3">
        <f t="shared" si="5"/>
        <v>0</v>
      </c>
      <c r="AK36" s="2" t="e">
        <f>AJ36*10000/RESULTS_REPORT!$C$18</f>
        <v>#DIV/0!</v>
      </c>
      <c r="AL36" s="2">
        <f t="shared" si="6"/>
        <v>0</v>
      </c>
      <c r="AM36" s="3" t="e">
        <f>AL36*10000/RESULTS_REPORT!$C$18</f>
        <v>#DIV/0!</v>
      </c>
      <c r="AN36" s="3"/>
    </row>
    <row r="37" spans="1:40" x14ac:dyDescent="0.2">
      <c r="A37" s="16">
        <f>'DATA INPUT'!C41</f>
        <v>0</v>
      </c>
      <c r="B37" s="11" t="b">
        <f>IF('DATA INPUT'!B41="T. ser",0.1656*'DATA INPUT'!D41^1.4655,IF('DATA INPUT'!B41="S. mel",135.53*'DATA INPUT'!D41^3.8701/1000,IF('DATA INPUT'!B41="V. ref",143.01*'DATA INPUT'!D41^3.3147/1000,IF('DATA INPUT'!B41=1,143.35*'DATA INPUT'!D41^3.6046/1000,IF('DATA INPUT'!B41=2,0.1656*'DATA INPUT'!D41^1.4655,FALSE)))))</f>
        <v>0</v>
      </c>
      <c r="C37" s="8" t="b">
        <f>IF('DATA INPUT'!B41="T. ser",0.3356*'DATA INPUT'!E41^0.9984,IF('DATA INPUT'!B41="S. mel",24.906*'DATA INPUT'!E41^4.7681/1000,IF('DATA INPUT'!B41="V. ref",118.45*'DATA INPUT'!E41^3.5959/1000,IF('DATA INPUT'!B41=1,55.075*'DATA INPUT'!E41^4.0991/1000,IF('DATA INPUT'!B41=2,0.3356*'DATA INPUT'!E41^0.9984,FALSE)))))</f>
        <v>0</v>
      </c>
      <c r="D37" s="18" t="b">
        <f>IF('DATA INPUT'!B41="T. ser",0.0615*('DATA INPUT'!F41*'DATA INPUT'!G41)^0.9573,IF('DATA INPUT'!B41="S. mel",46.162*('DATA INPUT'!F41*'DATA INPUT'!G41)^2.3652/1000,IF('DATA INPUT'!B41="V. ref",90.34*('DATA INPUT'!F41*'DATA INPUT'!G41)^1.9756/1000,IF('DATA INPUT'!B41=1,63.022*('DATA INPUT'!F41*'DATA INPUT'!G41)^2.1551/1000,IF('DATA INPUT'!B41=2,0.0615*('DATA INPUT'!F41*'DATA INPUT'!G41)^0.9573,FALSE)))))</f>
        <v>0</v>
      </c>
      <c r="E37" s="8" t="b">
        <f>IF('DATA INPUT'!B41="T. ser",5.0562*('DATA INPUT'!H41*'DATA INPUT'!I41)^0.9574,IF('DATA INPUT'!B41="S. mel",44047*('DATA INPUT'!H41*'DATA INPUT'!I41)^1.5456/1000,IF('DATA INPUT'!B41="V. ref",91930*('DATA INPUT'!H41*'DATA INPUT'!I41)^1.7774/1000,IF('DATA INPUT'!B41=1,62601*('DATA INPUT'!H41*'DATA INPUT'!I41)^1.6463/1000,IF('DATA INPUT'!B41=2,5.0562*('DATA INPUT'!H41*'DATA INPUT'!I41)^0.9574,FALSE)))))</f>
        <v>0</v>
      </c>
      <c r="F37" s="18" t="b">
        <f>IF('DATA INPUT'!B41="T. ser",0.0009*I37^0.4477,IF('DATA INPUT'!B41="S. mel",0.0000004*I37^1.4912/1000,IF('DATA INPUT'!B41="V. ref",0.00000005*I37^1.6284/1000,IF('DATA INPUT'!B41=1,0.0000007*I37^1.4601/1000,IF('DATA INPUT'!B41=2,0.0009*I37^0.4477,FALSE)))))</f>
        <v>0</v>
      </c>
      <c r="G37" s="57">
        <f t="shared" si="0"/>
        <v>0</v>
      </c>
      <c r="H37" s="57"/>
      <c r="I37" s="2" t="b">
        <f>IF('DATA INPUT'!B41="T. ser",3.142*'DATA INPUT'!N41^2*'DATA INPUT'!O41/3+3.142*'DATA INPUT'!P41^2/3*(3*'DATA INPUT'!N41-'DATA INPUT'!P41),IF('DATA INPUT'!B41="S. mel",3.142*'DATA INPUT'!N41^2*'DATA INPUT'!O41/3+3.142*'DATA INPUT'!P41^2/3*(3*'DATA INPUT'!N41-'DATA INPUT'!P41),IF('DATA INPUT'!B41="V. ref",3.142*'DATA INPUT'!N41^2*'DATA INPUT'!O41/3+3.142*'DATA INPUT'!P41^2/3*(3*'DATA INPUT'!N41-'DATA INPUT'!P41),IF('DATA INPUT'!B41=1,3.142*'DATA INPUT'!N41^2*'DATA INPUT'!O41/3+3.142*'DATA INPUT'!P41^2/3*(3*'DATA INPUT'!N41-'DATA INPUT'!P41),IF('DATA INPUT'!B41=2,3.142*'DATA INPUT'!N41^2*'DATA INPUT'!O41/3+3.142*'DATA INPUT'!P41^2/3*(3*'DATA INPUT'!N41-'DATA INPUT'!P41),FALSE)))))</f>
        <v>0</v>
      </c>
      <c r="J37" s="2" t="b">
        <f>IF('DATA INPUT'!B41="T. ser",0.0458*CALCULATIONS!I37^0.6841,IF('DATA INPUT'!B41="S. mel",0.6047*CALCULATIONS!I37^0.6433,IF('DATA INPUT'!B41="V. ref",0.77086*CALCULATIONS!I37^0.4936,IF('DATA INPUT'!B41=1,0.68778*CALCULATIONS!I37^0.56845,IF('DATA INPUT'!B41=2,0.0458*CALCULATIONS!I37^0.6841,FALSE)))))</f>
        <v>0</v>
      </c>
      <c r="K37" s="3">
        <f t="shared" si="1"/>
        <v>0</v>
      </c>
      <c r="L37" s="3" t="b">
        <f>IF('DATA INPUT'!B41="T. ser",('DATA INPUT'!D41+'DATA INPUT'!F41+'DATA INPUT'!H41+'DATA INPUT'!J41)/1.5,IF('DATA INPUT'!B41="V. ref",('DATA INPUT'!D41+'DATA INPUT'!F41+'DATA INPUT'!H41+'DATA INPUT'!J41)/1.5,IF('DATA INPUT'!B41="S. mel",('DATA INPUT'!D41+'DATA INPUT'!F41+'DATA INPUT'!H41+'DATA INPUT'!J41)/1.5,IF('DATA INPUT'!B41=1,('DATA INPUT'!D41+'DATA INPUT'!F41+'DATA INPUT'!H41+'DATA INPUT'!J41)/1.5,IF('DATA INPUT'!B41=2,('DATA INPUT'!D41+'DATA INPUT'!F41+'DATA INPUT'!H41+'DATA INPUT'!J41)/1.5,FALSE)))))</f>
        <v>0</v>
      </c>
      <c r="N37" s="16">
        <f>'DATA INPUT'!C41</f>
        <v>0</v>
      </c>
      <c r="O37" s="3" t="b">
        <f>IF('DATA INPUT'!B41="T. ser",0.3446*'DATA INPUT'!D41^1.0619,IF('DATA INPUT'!B41="S. mel",(1270.6*'DATA INPUT'!D41^2.0933)/1000,IF('DATA INPUT'!B41="V. ref",(816.25*'DATA INPUT'!D41^2.1754)/1000,IF('DATA INPUT'!B41=1,(1492.4*'DATA INPUT'!D41^1.7591)/1000,IF('DATA INPUT'!B41=2,0.3446*'DATA INPUT'!D41^1.0619,FALSE)))))</f>
        <v>0</v>
      </c>
      <c r="P37" s="3" t="b">
        <f>IF('DATA INPUT'!B41="T. ser",0.3662*'DATA INPUT'!E41^1.5061,IF('DATA INPUT'!B41="S. mel",(748.47*'DATA INPUT'!E41^2.2691)/1000,IF('DATA INPUT'!B41="V. ref",(953.69*'DATA INPUT'!E41^1.9524)/1000,IF('DATA INPUT'!B41=1,(695.02*'DATA INPUT'!E41^2.3452)/1000,IF('DATA INPUT'!B41=2,0.3662*'DATA INPUT'!E41^1.5061,FALSE)))))</f>
        <v>0</v>
      </c>
      <c r="Q37" s="3" t="b">
        <f>IF('DATA INPUT'!B41="T. ser",0.1225*('DATA INPUT'!F41*'DATA INPUT'!G41)^0.8272,IF('DATA INPUT'!B41="S. mel",(925.08*('DATA INPUT'!F41*'DATA INPUT'!G41)^1.1603)/1000,IF('DATA INPUT'!B41="V. ref",(776.29*('DATA INPUT'!F41*'DATA INPUT'!G41)^1.1226)/1000,IF('DATA INPUT'!B41=1,(884.6*('DATA INPUT'!F41*'DATA INPUT'!G41)^1.129)/1000,IF('DATA INPUT'!B41=2,0.1225*('DATA INPUT'!F41*'DATA INPUT'!G41)^0.8272,FALSE)))))</f>
        <v>0</v>
      </c>
      <c r="R37" s="3" t="b">
        <f>IF('DATA INPUT'!B41="T. ser",5.5287*('DATA INPUT'!H41*'DATA INPUT'!I41)^0.8272,IF('DATA INPUT'!B41="S. mel",(31469*('DATA INPUT'!H41*'DATA INPUT'!I41)^0.8608)/1000,IF('DATA INPUT'!B41="V. ref",(39394*('DATA INPUT'!H41*'DATA INPUT'!I41)^1.005)/1000,IF('DATA INPUT'!B41=1,(31791*('DATA INPUT'!H41*'DATA INPUT'!I41)^0.8467)/1000,IF('DATA INPUT'!B41=2,5.5287*('DATA INPUT'!H41*'DATA INPUT'!I41)^0.8272,FALSE)))))</f>
        <v>0</v>
      </c>
      <c r="S37" s="3" t="b">
        <f>IF('DATA INPUT'!B41="T. ser",0.0005*I37^0.5148,IF('DATA INPUT'!B41="S. mel",0.051*I37^0.7789/1000,IF('DATA INPUT'!B41="V. ref",0.0958*I37^0.7253/1000,IF('DATA INPUT'!B41=1,0.0426*I37^0.786/1000,IF('DATA INPUT'!B41=2,0.0005*I37^0.5148,FALSE)))))</f>
        <v>0</v>
      </c>
      <c r="T37" s="59">
        <f t="shared" si="2"/>
        <v>0</v>
      </c>
      <c r="AB37" s="1">
        <f>'DATA INPUT'!Q41</f>
        <v>0</v>
      </c>
      <c r="AC37" s="2">
        <f>COUNTIF('DATA INPUT'!$C$7:$C$156,'DATA INPUT'!Q41)</f>
        <v>0</v>
      </c>
      <c r="AD37" s="2" t="e">
        <f>AC37*10000/RESULTS_REPORT!$C$18</f>
        <v>#DIV/0!</v>
      </c>
      <c r="AE37" s="2">
        <f t="shared" si="3"/>
        <v>0</v>
      </c>
      <c r="AF37" s="2" t="e">
        <f>AE37*10000/RESULTS_REPORT!$C$18</f>
        <v>#DIV/0!</v>
      </c>
      <c r="AG37" s="2">
        <f t="shared" si="4"/>
        <v>0</v>
      </c>
      <c r="AH37" s="2" t="e">
        <f>AG37*10000/RESULTS_REPORT!$C$18</f>
        <v>#DIV/0!</v>
      </c>
      <c r="AJ37" s="3">
        <f t="shared" si="5"/>
        <v>0</v>
      </c>
      <c r="AK37" s="2" t="e">
        <f>AJ37*10000/RESULTS_REPORT!$C$18</f>
        <v>#DIV/0!</v>
      </c>
      <c r="AL37" s="2">
        <f t="shared" si="6"/>
        <v>0</v>
      </c>
      <c r="AM37" s="3" t="e">
        <f>AL37*10000/RESULTS_REPORT!$C$18</f>
        <v>#DIV/0!</v>
      </c>
      <c r="AN37" s="3"/>
    </row>
    <row r="38" spans="1:40" x14ac:dyDescent="0.2">
      <c r="A38" s="16">
        <f>'DATA INPUT'!C42</f>
        <v>0</v>
      </c>
      <c r="B38" s="11" t="b">
        <f>IF('DATA INPUT'!B42="T. ser",0.1656*'DATA INPUT'!D42^1.4655,IF('DATA INPUT'!B42="S. mel",135.53*'DATA INPUT'!D42^3.8701/1000,IF('DATA INPUT'!B42="V. ref",143.01*'DATA INPUT'!D42^3.3147/1000,IF('DATA INPUT'!B42=1,143.35*'DATA INPUT'!D42^3.6046/1000,IF('DATA INPUT'!B42=2,0.1656*'DATA INPUT'!D42^1.4655,FALSE)))))</f>
        <v>0</v>
      </c>
      <c r="C38" s="8" t="b">
        <f>IF('DATA INPUT'!B42="T. ser",0.3356*'DATA INPUT'!E42^0.9984,IF('DATA INPUT'!B42="S. mel",24.906*'DATA INPUT'!E42^4.7681/1000,IF('DATA INPUT'!B42="V. ref",118.45*'DATA INPUT'!E42^3.5959/1000,IF('DATA INPUT'!B42=1,55.075*'DATA INPUT'!E42^4.0991/1000,IF('DATA INPUT'!B42=2,0.3356*'DATA INPUT'!E42^0.9984,FALSE)))))</f>
        <v>0</v>
      </c>
      <c r="D38" s="18" t="b">
        <f>IF('DATA INPUT'!B42="T. ser",0.0615*('DATA INPUT'!F42*'DATA INPUT'!G42)^0.9573,IF('DATA INPUT'!B42="S. mel",46.162*('DATA INPUT'!F42*'DATA INPUT'!G42)^2.3652/1000,IF('DATA INPUT'!B42="V. ref",90.34*('DATA INPUT'!F42*'DATA INPUT'!G42)^1.9756/1000,IF('DATA INPUT'!B42=1,63.022*('DATA INPUT'!F42*'DATA INPUT'!G42)^2.1551/1000,IF('DATA INPUT'!B42=2,0.0615*('DATA INPUT'!F42*'DATA INPUT'!G42)^0.9573,FALSE)))))</f>
        <v>0</v>
      </c>
      <c r="E38" s="8" t="b">
        <f>IF('DATA INPUT'!B42="T. ser",5.0562*('DATA INPUT'!H42*'DATA INPUT'!I42)^0.9574,IF('DATA INPUT'!B42="S. mel",44047*('DATA INPUT'!H42*'DATA INPUT'!I42)^1.5456/1000,IF('DATA INPUT'!B42="V. ref",91930*('DATA INPUT'!H42*'DATA INPUT'!I42)^1.7774/1000,IF('DATA INPUT'!B42=1,62601*('DATA INPUT'!H42*'DATA INPUT'!I42)^1.6463/1000,IF('DATA INPUT'!B42=2,5.0562*('DATA INPUT'!H42*'DATA INPUT'!I42)^0.9574,FALSE)))))</f>
        <v>0</v>
      </c>
      <c r="F38" s="18" t="b">
        <f>IF('DATA INPUT'!B42="T. ser",0.0009*I38^0.4477,IF('DATA INPUT'!B42="S. mel",0.0000004*I38^1.4912/1000,IF('DATA INPUT'!B42="V. ref",0.00000005*I38^1.6284/1000,IF('DATA INPUT'!B42=1,0.0000007*I38^1.4601/1000,IF('DATA INPUT'!B42=2,0.0009*I38^0.4477,FALSE)))))</f>
        <v>0</v>
      </c>
      <c r="G38" s="57">
        <f t="shared" si="0"/>
        <v>0</v>
      </c>
      <c r="H38" s="57"/>
      <c r="I38" s="2" t="b">
        <f>IF('DATA INPUT'!B42="T. ser",3.142*'DATA INPUT'!N42^2*'DATA INPUT'!O42/3+3.142*'DATA INPUT'!P42^2/3*(3*'DATA INPUT'!N42-'DATA INPUT'!P42),IF('DATA INPUT'!B42="S. mel",3.142*'DATA INPUT'!N42^2*'DATA INPUT'!O42/3+3.142*'DATA INPUT'!P42^2/3*(3*'DATA INPUT'!N42-'DATA INPUT'!P42),IF('DATA INPUT'!B42="V. ref",3.142*'DATA INPUT'!N42^2*'DATA INPUT'!O42/3+3.142*'DATA INPUT'!P42^2/3*(3*'DATA INPUT'!N42-'DATA INPUT'!P42),IF('DATA INPUT'!B42=1,3.142*'DATA INPUT'!N42^2*'DATA INPUT'!O42/3+3.142*'DATA INPUT'!P42^2/3*(3*'DATA INPUT'!N42-'DATA INPUT'!P42),IF('DATA INPUT'!B42=2,3.142*'DATA INPUT'!N42^2*'DATA INPUT'!O42/3+3.142*'DATA INPUT'!P42^2/3*(3*'DATA INPUT'!N42-'DATA INPUT'!P42),FALSE)))))</f>
        <v>0</v>
      </c>
      <c r="J38" s="2" t="b">
        <f>IF('DATA INPUT'!B42="T. ser",0.0458*CALCULATIONS!I38^0.6841,IF('DATA INPUT'!B42="S. mel",0.6047*CALCULATIONS!I38^0.6433,IF('DATA INPUT'!B42="V. ref",0.77086*CALCULATIONS!I38^0.4936,IF('DATA INPUT'!B42=1,0.68778*CALCULATIONS!I38^0.56845,IF('DATA INPUT'!B42=2,0.0458*CALCULATIONS!I38^0.6841,FALSE)))))</f>
        <v>0</v>
      </c>
      <c r="K38" s="3">
        <f t="shared" si="1"/>
        <v>0</v>
      </c>
      <c r="L38" s="3" t="b">
        <f>IF('DATA INPUT'!B42="T. ser",('DATA INPUT'!D42+'DATA INPUT'!F42+'DATA INPUT'!H42+'DATA INPUT'!J42)/1.5,IF('DATA INPUT'!B42="V. ref",('DATA INPUT'!D42+'DATA INPUT'!F42+'DATA INPUT'!H42+'DATA INPUT'!J42)/1.5,IF('DATA INPUT'!B42="S. mel",('DATA INPUT'!D42+'DATA INPUT'!F42+'DATA INPUT'!H42+'DATA INPUT'!J42)/1.5,IF('DATA INPUT'!B42=1,('DATA INPUT'!D42+'DATA INPUT'!F42+'DATA INPUT'!H42+'DATA INPUT'!J42)/1.5,IF('DATA INPUT'!B42=2,('DATA INPUT'!D42+'DATA INPUT'!F42+'DATA INPUT'!H42+'DATA INPUT'!J42)/1.5,FALSE)))))</f>
        <v>0</v>
      </c>
      <c r="N38" s="16">
        <f>'DATA INPUT'!C42</f>
        <v>0</v>
      </c>
      <c r="O38" s="3" t="b">
        <f>IF('DATA INPUT'!B42="T. ser",0.3446*'DATA INPUT'!D42^1.0619,IF('DATA INPUT'!B42="S. mel",(1270.6*'DATA INPUT'!D42^2.0933)/1000,IF('DATA INPUT'!B42="V. ref",(816.25*'DATA INPUT'!D42^2.1754)/1000,IF('DATA INPUT'!B42=1,(1492.4*'DATA INPUT'!D42^1.7591)/1000,IF('DATA INPUT'!B42=2,0.3446*'DATA INPUT'!D42^1.0619,FALSE)))))</f>
        <v>0</v>
      </c>
      <c r="P38" s="3" t="b">
        <f>IF('DATA INPUT'!B42="T. ser",0.3662*'DATA INPUT'!E42^1.5061,IF('DATA INPUT'!B42="S. mel",(748.47*'DATA INPUT'!E42^2.2691)/1000,IF('DATA INPUT'!B42="V. ref",(953.69*'DATA INPUT'!E42^1.9524)/1000,IF('DATA INPUT'!B42=1,(695.02*'DATA INPUT'!E42^2.3452)/1000,IF('DATA INPUT'!B42=2,0.3662*'DATA INPUT'!E42^1.5061,FALSE)))))</f>
        <v>0</v>
      </c>
      <c r="Q38" s="3" t="b">
        <f>IF('DATA INPUT'!B42="T. ser",0.1225*('DATA INPUT'!F42*'DATA INPUT'!G42)^0.8272,IF('DATA INPUT'!B42="S. mel",(925.08*('DATA INPUT'!F42*'DATA INPUT'!G42)^1.1603)/1000,IF('DATA INPUT'!B42="V. ref",(776.29*('DATA INPUT'!F42*'DATA INPUT'!G42)^1.1226)/1000,IF('DATA INPUT'!B42=1,(884.6*('DATA INPUT'!F42*'DATA INPUT'!G42)^1.129)/1000,IF('DATA INPUT'!B42=2,0.1225*('DATA INPUT'!F42*'DATA INPUT'!G42)^0.8272,FALSE)))))</f>
        <v>0</v>
      </c>
      <c r="R38" s="3" t="b">
        <f>IF('DATA INPUT'!B42="T. ser",5.5287*('DATA INPUT'!H42*'DATA INPUT'!I42)^0.8272,IF('DATA INPUT'!B42="S. mel",(31469*('DATA INPUT'!H42*'DATA INPUT'!I42)^0.8608)/1000,IF('DATA INPUT'!B42="V. ref",(39394*('DATA INPUT'!H42*'DATA INPUT'!I42)^1.005)/1000,IF('DATA INPUT'!B42=1,(31791*('DATA INPUT'!H42*'DATA INPUT'!I42)^0.8467)/1000,IF('DATA INPUT'!B42=2,5.5287*('DATA INPUT'!H42*'DATA INPUT'!I42)^0.8272,FALSE)))))</f>
        <v>0</v>
      </c>
      <c r="S38" s="3" t="b">
        <f>IF('DATA INPUT'!B42="T. ser",0.0005*I38^0.5148,IF('DATA INPUT'!B42="S. mel",0.051*I38^0.7789/1000,IF('DATA INPUT'!B42="V. ref",0.0958*I38^0.7253/1000,IF('DATA INPUT'!B42=1,0.0426*I38^0.786/1000,IF('DATA INPUT'!B42=2,0.0005*I38^0.5148,FALSE)))))</f>
        <v>0</v>
      </c>
      <c r="T38" s="59">
        <f t="shared" si="2"/>
        <v>0</v>
      </c>
    </row>
    <row r="39" spans="1:40" x14ac:dyDescent="0.2">
      <c r="A39" s="16">
        <f>'DATA INPUT'!C43</f>
        <v>0</v>
      </c>
      <c r="B39" s="11" t="b">
        <f>IF('DATA INPUT'!B43="T. ser",0.1656*'DATA INPUT'!D43^1.4655,IF('DATA INPUT'!B43="S. mel",135.53*'DATA INPUT'!D43^3.8701/1000,IF('DATA INPUT'!B43="V. ref",143.01*'DATA INPUT'!D43^3.3147/1000,IF('DATA INPUT'!B43=1,143.35*'DATA INPUT'!D43^3.6046/1000,IF('DATA INPUT'!B43=2,0.1656*'DATA INPUT'!D43^1.4655,FALSE)))))</f>
        <v>0</v>
      </c>
      <c r="C39" s="8" t="b">
        <f>IF('DATA INPUT'!B43="T. ser",0.3356*'DATA INPUT'!E43^0.9984,IF('DATA INPUT'!B43="S. mel",24.906*'DATA INPUT'!E43^4.7681/1000,IF('DATA INPUT'!B43="V. ref",118.45*'DATA INPUT'!E43^3.5959/1000,IF('DATA INPUT'!B43=1,55.075*'DATA INPUT'!E43^4.0991/1000,IF('DATA INPUT'!B43=2,0.3356*'DATA INPUT'!E43^0.9984,FALSE)))))</f>
        <v>0</v>
      </c>
      <c r="D39" s="18" t="b">
        <f>IF('DATA INPUT'!B43="T. ser",0.0615*('DATA INPUT'!F43*'DATA INPUT'!G43)^0.9573,IF('DATA INPUT'!B43="S. mel",46.162*('DATA INPUT'!F43*'DATA INPUT'!G43)^2.3652/1000,IF('DATA INPUT'!B43="V. ref",90.34*('DATA INPUT'!F43*'DATA INPUT'!G43)^1.9756/1000,IF('DATA INPUT'!B43=1,63.022*('DATA INPUT'!F43*'DATA INPUT'!G43)^2.1551/1000,IF('DATA INPUT'!B43=2,0.0615*('DATA INPUT'!F43*'DATA INPUT'!G43)^0.9573,FALSE)))))</f>
        <v>0</v>
      </c>
      <c r="E39" s="8" t="b">
        <f>IF('DATA INPUT'!B43="T. ser",5.0562*('DATA INPUT'!H43*'DATA INPUT'!I43)^0.9574,IF('DATA INPUT'!B43="S. mel",44047*('DATA INPUT'!H43*'DATA INPUT'!I43)^1.5456/1000,IF('DATA INPUT'!B43="V. ref",91930*('DATA INPUT'!H43*'DATA INPUT'!I43)^1.7774/1000,IF('DATA INPUT'!B43=1,62601*('DATA INPUT'!H43*'DATA INPUT'!I43)^1.6463/1000,IF('DATA INPUT'!B43=2,5.0562*('DATA INPUT'!H43*'DATA INPUT'!I43)^0.9574,FALSE)))))</f>
        <v>0</v>
      </c>
      <c r="F39" s="18" t="b">
        <f>IF('DATA INPUT'!B43="T. ser",0.0009*I39^0.4477,IF('DATA INPUT'!B43="S. mel",0.0000004*I39^1.4912/1000,IF('DATA INPUT'!B43="V. ref",0.00000005*I39^1.6284/1000,IF('DATA INPUT'!B43=1,0.0000007*I39^1.4601/1000,IF('DATA INPUT'!B43=2,0.0009*I39^0.4477,FALSE)))))</f>
        <v>0</v>
      </c>
      <c r="G39" s="57">
        <f t="shared" si="0"/>
        <v>0</v>
      </c>
      <c r="H39" s="57"/>
      <c r="I39" s="2" t="b">
        <f>IF('DATA INPUT'!B43="T. ser",3.142*'DATA INPUT'!N43^2*'DATA INPUT'!O43/3+3.142*'DATA INPUT'!P43^2/3*(3*'DATA INPUT'!N43-'DATA INPUT'!P43),IF('DATA INPUT'!B43="S. mel",3.142*'DATA INPUT'!N43^2*'DATA INPUT'!O43/3+3.142*'DATA INPUT'!P43^2/3*(3*'DATA INPUT'!N43-'DATA INPUT'!P43),IF('DATA INPUT'!B43="V. ref",3.142*'DATA INPUT'!N43^2*'DATA INPUT'!O43/3+3.142*'DATA INPUT'!P43^2/3*(3*'DATA INPUT'!N43-'DATA INPUT'!P43),IF('DATA INPUT'!B43=1,3.142*'DATA INPUT'!N43^2*'DATA INPUT'!O43/3+3.142*'DATA INPUT'!P43^2/3*(3*'DATA INPUT'!N43-'DATA INPUT'!P43),IF('DATA INPUT'!B43=2,3.142*'DATA INPUT'!N43^2*'DATA INPUT'!O43/3+3.142*'DATA INPUT'!P43^2/3*(3*'DATA INPUT'!N43-'DATA INPUT'!P43),FALSE)))))</f>
        <v>0</v>
      </c>
      <c r="J39" s="2" t="b">
        <f>IF('DATA INPUT'!B43="T. ser",0.0458*CALCULATIONS!I39^0.6841,IF('DATA INPUT'!B43="S. mel",0.6047*CALCULATIONS!I39^0.6433,IF('DATA INPUT'!B43="V. ref",0.77086*CALCULATIONS!I39^0.4936,IF('DATA INPUT'!B43=1,0.68778*CALCULATIONS!I39^0.56845,IF('DATA INPUT'!B43=2,0.0458*CALCULATIONS!I39^0.6841,FALSE)))))</f>
        <v>0</v>
      </c>
      <c r="K39" s="3">
        <f t="shared" si="1"/>
        <v>0</v>
      </c>
      <c r="L39" s="3" t="b">
        <f>IF('DATA INPUT'!B43="T. ser",('DATA INPUT'!D43+'DATA INPUT'!F43+'DATA INPUT'!H43+'DATA INPUT'!J43)/1.5,IF('DATA INPUT'!B43="V. ref",('DATA INPUT'!D43+'DATA INPUT'!F43+'DATA INPUT'!H43+'DATA INPUT'!J43)/1.5,IF('DATA INPUT'!B43="S. mel",('DATA INPUT'!D43+'DATA INPUT'!F43+'DATA INPUT'!H43+'DATA INPUT'!J43)/1.5,IF('DATA INPUT'!B43=1,('DATA INPUT'!D43+'DATA INPUT'!F43+'DATA INPUT'!H43+'DATA INPUT'!J43)/1.5,IF('DATA INPUT'!B43=2,('DATA INPUT'!D43+'DATA INPUT'!F43+'DATA INPUT'!H43+'DATA INPUT'!J43)/1.5,FALSE)))))</f>
        <v>0</v>
      </c>
      <c r="N39" s="16">
        <f>'DATA INPUT'!C43</f>
        <v>0</v>
      </c>
      <c r="O39" s="3" t="b">
        <f>IF('DATA INPUT'!B43="T. ser",0.3446*'DATA INPUT'!D43^1.0619,IF('DATA INPUT'!B43="S. mel",(1270.6*'DATA INPUT'!D43^2.0933)/1000,IF('DATA INPUT'!B43="V. ref",(816.25*'DATA INPUT'!D43^2.1754)/1000,IF('DATA INPUT'!B43=1,(1492.4*'DATA INPUT'!D43^1.7591)/1000,IF('DATA INPUT'!B43=2,0.3446*'DATA INPUT'!D43^1.0619,FALSE)))))</f>
        <v>0</v>
      </c>
      <c r="P39" s="3" t="b">
        <f>IF('DATA INPUT'!B43="T. ser",0.3662*'DATA INPUT'!E43^1.5061,IF('DATA INPUT'!B43="S. mel",(748.47*'DATA INPUT'!E43^2.2691)/1000,IF('DATA INPUT'!B43="V. ref",(953.69*'DATA INPUT'!E43^1.9524)/1000,IF('DATA INPUT'!B43=1,(695.02*'DATA INPUT'!E43^2.3452)/1000,IF('DATA INPUT'!B43=2,0.3662*'DATA INPUT'!E43^1.5061,FALSE)))))</f>
        <v>0</v>
      </c>
      <c r="Q39" s="3" t="b">
        <f>IF('DATA INPUT'!B43="T. ser",0.1225*('DATA INPUT'!F43*'DATA INPUT'!G43)^0.8272,IF('DATA INPUT'!B43="S. mel",(925.08*('DATA INPUT'!F43*'DATA INPUT'!G43)^1.1603)/1000,IF('DATA INPUT'!B43="V. ref",(776.29*('DATA INPUT'!F43*'DATA INPUT'!G43)^1.1226)/1000,IF('DATA INPUT'!B43=1,(884.6*('DATA INPUT'!F43*'DATA INPUT'!G43)^1.129)/1000,IF('DATA INPUT'!B43=2,0.1225*('DATA INPUT'!F43*'DATA INPUT'!G43)^0.8272,FALSE)))))</f>
        <v>0</v>
      </c>
      <c r="R39" s="3" t="b">
        <f>IF('DATA INPUT'!B43="T. ser",5.5287*('DATA INPUT'!H43*'DATA INPUT'!I43)^0.8272,IF('DATA INPUT'!B43="S. mel",(31469*('DATA INPUT'!H43*'DATA INPUT'!I43)^0.8608)/1000,IF('DATA INPUT'!B43="V. ref",(39394*('DATA INPUT'!H43*'DATA INPUT'!I43)^1.005)/1000,IF('DATA INPUT'!B43=1,(31791*('DATA INPUT'!H43*'DATA INPUT'!I43)^0.8467)/1000,IF('DATA INPUT'!B43=2,5.5287*('DATA INPUT'!H43*'DATA INPUT'!I43)^0.8272,FALSE)))))</f>
        <v>0</v>
      </c>
      <c r="S39" s="3" t="b">
        <f>IF('DATA INPUT'!B43="T. ser",0.0005*I39^0.5148,IF('DATA INPUT'!B43="S. mel",0.051*I39^0.7789/1000,IF('DATA INPUT'!B43="V. ref",0.0958*I39^0.7253/1000,IF('DATA INPUT'!B43=1,0.0426*I39^0.786/1000,IF('DATA INPUT'!B43=2,0.0005*I39^0.5148,FALSE)))))</f>
        <v>0</v>
      </c>
      <c r="T39" s="59">
        <f t="shared" si="2"/>
        <v>0</v>
      </c>
    </row>
    <row r="40" spans="1:40" x14ac:dyDescent="0.2">
      <c r="A40" s="16">
        <f>'DATA INPUT'!C44</f>
        <v>0</v>
      </c>
      <c r="B40" s="11" t="b">
        <f>IF('DATA INPUT'!B44="T. ser",0.1656*'DATA INPUT'!D44^1.4655,IF('DATA INPUT'!B44="S. mel",135.53*'DATA INPUT'!D44^3.8701/1000,IF('DATA INPUT'!B44="V. ref",143.01*'DATA INPUT'!D44^3.3147/1000,IF('DATA INPUT'!B44=1,143.35*'DATA INPUT'!D44^3.6046/1000,IF('DATA INPUT'!B44=2,0.1656*'DATA INPUT'!D44^1.4655,FALSE)))))</f>
        <v>0</v>
      </c>
      <c r="C40" s="8" t="b">
        <f>IF('DATA INPUT'!B44="T. ser",0.3356*'DATA INPUT'!E44^0.9984,IF('DATA INPUT'!B44="S. mel",24.906*'DATA INPUT'!E44^4.7681/1000,IF('DATA INPUT'!B44="V. ref",118.45*'DATA INPUT'!E44^3.5959/1000,IF('DATA INPUT'!B44=1,55.075*'DATA INPUT'!E44^4.0991/1000,IF('DATA INPUT'!B44=2,0.3356*'DATA INPUT'!E44^0.9984,FALSE)))))</f>
        <v>0</v>
      </c>
      <c r="D40" s="18" t="b">
        <f>IF('DATA INPUT'!B44="T. ser",0.0615*('DATA INPUT'!F44*'DATA INPUT'!G44)^0.9573,IF('DATA INPUT'!B44="S. mel",46.162*('DATA INPUT'!F44*'DATA INPUT'!G44)^2.3652/1000,IF('DATA INPUT'!B44="V. ref",90.34*('DATA INPUT'!F44*'DATA INPUT'!G44)^1.9756/1000,IF('DATA INPUT'!B44=1,63.022*('DATA INPUT'!F44*'DATA INPUT'!G44)^2.1551/1000,IF('DATA INPUT'!B44=2,0.0615*('DATA INPUT'!F44*'DATA INPUT'!G44)^0.9573,FALSE)))))</f>
        <v>0</v>
      </c>
      <c r="E40" s="8" t="b">
        <f>IF('DATA INPUT'!B44="T. ser",5.0562*('DATA INPUT'!H44*'DATA INPUT'!I44)^0.9574,IF('DATA INPUT'!B44="S. mel",44047*('DATA INPUT'!H44*'DATA INPUT'!I44)^1.5456/1000,IF('DATA INPUT'!B44="V. ref",91930*('DATA INPUT'!H44*'DATA INPUT'!I44)^1.7774/1000,IF('DATA INPUT'!B44=1,62601*('DATA INPUT'!H44*'DATA INPUT'!I44)^1.6463/1000,IF('DATA INPUT'!B44=2,5.0562*('DATA INPUT'!H44*'DATA INPUT'!I44)^0.9574,FALSE)))))</f>
        <v>0</v>
      </c>
      <c r="F40" s="18" t="b">
        <f>IF('DATA INPUT'!B44="T. ser",0.0009*I40^0.4477,IF('DATA INPUT'!B44="S. mel",0.0000004*I40^1.4912/1000,IF('DATA INPUT'!B44="V. ref",0.00000005*I40^1.6284/1000,IF('DATA INPUT'!B44=1,0.0000007*I40^1.4601/1000,IF('DATA INPUT'!B44=2,0.0009*I40^0.4477,FALSE)))))</f>
        <v>0</v>
      </c>
      <c r="G40" s="57">
        <f t="shared" si="0"/>
        <v>0</v>
      </c>
      <c r="H40" s="57"/>
      <c r="I40" s="2" t="b">
        <f>IF('DATA INPUT'!B44="T. ser",3.142*'DATA INPUT'!N44^2*'DATA INPUT'!O44/3+3.142*'DATA INPUT'!P44^2/3*(3*'DATA INPUT'!N44-'DATA INPUT'!P44),IF('DATA INPUT'!B44="S. mel",3.142*'DATA INPUT'!N44^2*'DATA INPUT'!O44/3+3.142*'DATA INPUT'!P44^2/3*(3*'DATA INPUT'!N44-'DATA INPUT'!P44),IF('DATA INPUT'!B44="V. ref",3.142*'DATA INPUT'!N44^2*'DATA INPUT'!O44/3+3.142*'DATA INPUT'!P44^2/3*(3*'DATA INPUT'!N44-'DATA INPUT'!P44),IF('DATA INPUT'!B44=1,3.142*'DATA INPUT'!N44^2*'DATA INPUT'!O44/3+3.142*'DATA INPUT'!P44^2/3*(3*'DATA INPUT'!N44-'DATA INPUT'!P44),IF('DATA INPUT'!B44=2,3.142*'DATA INPUT'!N44^2*'DATA INPUT'!O44/3+3.142*'DATA INPUT'!P44^2/3*(3*'DATA INPUT'!N44-'DATA INPUT'!P44),FALSE)))))</f>
        <v>0</v>
      </c>
      <c r="J40" s="2" t="b">
        <f>IF('DATA INPUT'!B44="T. ser",0.0458*CALCULATIONS!I40^0.6841,IF('DATA INPUT'!B44="S. mel",0.6047*CALCULATIONS!I40^0.6433,IF('DATA INPUT'!B44="V. ref",0.77086*CALCULATIONS!I40^0.4936,IF('DATA INPUT'!B44=1,0.68778*CALCULATIONS!I40^0.56845,IF('DATA INPUT'!B44=2,0.0458*CALCULATIONS!I40^0.6841,FALSE)))))</f>
        <v>0</v>
      </c>
      <c r="K40" s="3">
        <f t="shared" si="1"/>
        <v>0</v>
      </c>
      <c r="L40" s="3" t="b">
        <f>IF('DATA INPUT'!B44="T. ser",('DATA INPUT'!D44+'DATA INPUT'!F44+'DATA INPUT'!H44+'DATA INPUT'!J44)/1.5,IF('DATA INPUT'!B44="V. ref",('DATA INPUT'!D44+'DATA INPUT'!F44+'DATA INPUT'!H44+'DATA INPUT'!J44)/1.5,IF('DATA INPUT'!B44="S. mel",('DATA INPUT'!D44+'DATA INPUT'!F44+'DATA INPUT'!H44+'DATA INPUT'!J44)/1.5,IF('DATA INPUT'!B44=1,('DATA INPUT'!D44+'DATA INPUT'!F44+'DATA INPUT'!H44+'DATA INPUT'!J44)/1.5,IF('DATA INPUT'!B44=2,('DATA INPUT'!D44+'DATA INPUT'!F44+'DATA INPUT'!H44+'DATA INPUT'!J44)/1.5,FALSE)))))</f>
        <v>0</v>
      </c>
      <c r="N40" s="16">
        <f>'DATA INPUT'!C44</f>
        <v>0</v>
      </c>
      <c r="O40" s="3" t="b">
        <f>IF('DATA INPUT'!B44="T. ser",0.3446*'DATA INPUT'!D44^1.0619,IF('DATA INPUT'!B44="S. mel",(1270.6*'DATA INPUT'!D44^2.0933)/1000,IF('DATA INPUT'!B44="V. ref",(816.25*'DATA INPUT'!D44^2.1754)/1000,IF('DATA INPUT'!B44=1,(1492.4*'DATA INPUT'!D44^1.7591)/1000,IF('DATA INPUT'!B44=2,0.3446*'DATA INPUT'!D44^1.0619,FALSE)))))</f>
        <v>0</v>
      </c>
      <c r="P40" s="3" t="b">
        <f>IF('DATA INPUT'!B44="T. ser",0.3662*'DATA INPUT'!E44^1.5061,IF('DATA INPUT'!B44="S. mel",(748.47*'DATA INPUT'!E44^2.2691)/1000,IF('DATA INPUT'!B44="V. ref",(953.69*'DATA INPUT'!E44^1.9524)/1000,IF('DATA INPUT'!B44=1,(695.02*'DATA INPUT'!E44^2.3452)/1000,IF('DATA INPUT'!B44=2,0.3662*'DATA INPUT'!E44^1.5061,FALSE)))))</f>
        <v>0</v>
      </c>
      <c r="Q40" s="3" t="b">
        <f>IF('DATA INPUT'!B44="T. ser",0.1225*('DATA INPUT'!F44*'DATA INPUT'!G44)^0.8272,IF('DATA INPUT'!B44="S. mel",(925.08*('DATA INPUT'!F44*'DATA INPUT'!G44)^1.1603)/1000,IF('DATA INPUT'!B44="V. ref",(776.29*('DATA INPUT'!F44*'DATA INPUT'!G44)^1.1226)/1000,IF('DATA INPUT'!B44=1,(884.6*('DATA INPUT'!F44*'DATA INPUT'!G44)^1.129)/1000,IF('DATA INPUT'!B44=2,0.1225*('DATA INPUT'!F44*'DATA INPUT'!G44)^0.8272,FALSE)))))</f>
        <v>0</v>
      </c>
      <c r="R40" s="3" t="b">
        <f>IF('DATA INPUT'!B44="T. ser",5.5287*('DATA INPUT'!H44*'DATA INPUT'!I44)^0.8272,IF('DATA INPUT'!B44="S. mel",(31469*('DATA INPUT'!H44*'DATA INPUT'!I44)^0.8608)/1000,IF('DATA INPUT'!B44="V. ref",(39394*('DATA INPUT'!H44*'DATA INPUT'!I44)^1.005)/1000,IF('DATA INPUT'!B44=1,(31791*('DATA INPUT'!H44*'DATA INPUT'!I44)^0.8467)/1000,IF('DATA INPUT'!B44=2,5.5287*('DATA INPUT'!H44*'DATA INPUT'!I44)^0.8272,FALSE)))))</f>
        <v>0</v>
      </c>
      <c r="S40" s="3" t="b">
        <f>IF('DATA INPUT'!B44="T. ser",0.0005*I40^0.5148,IF('DATA INPUT'!B44="S. mel",0.051*I40^0.7789/1000,IF('DATA INPUT'!B44="V. ref",0.0958*I40^0.7253/1000,IF('DATA INPUT'!B44=1,0.0426*I40^0.786/1000,IF('DATA INPUT'!B44=2,0.0005*I40^0.5148,FALSE)))))</f>
        <v>0</v>
      </c>
      <c r="T40" s="59">
        <f t="shared" si="2"/>
        <v>0</v>
      </c>
    </row>
    <row r="41" spans="1:40" x14ac:dyDescent="0.2">
      <c r="A41" s="16">
        <f>'DATA INPUT'!C45</f>
        <v>0</v>
      </c>
      <c r="B41" s="11" t="b">
        <f>IF('DATA INPUT'!B45="T. ser",0.1656*'DATA INPUT'!D45^1.4655,IF('DATA INPUT'!B45="S. mel",135.53*'DATA INPUT'!D45^3.8701/1000,IF('DATA INPUT'!B45="V. ref",143.01*'DATA INPUT'!D45^3.3147/1000,IF('DATA INPUT'!B45=1,143.35*'DATA INPUT'!D45^3.6046/1000,IF('DATA INPUT'!B45=2,0.1656*'DATA INPUT'!D45^1.4655,FALSE)))))</f>
        <v>0</v>
      </c>
      <c r="C41" s="8" t="b">
        <f>IF('DATA INPUT'!B45="T. ser",0.3356*'DATA INPUT'!E45^0.9984,IF('DATA INPUT'!B45="S. mel",24.906*'DATA INPUT'!E45^4.7681/1000,IF('DATA INPUT'!B45="V. ref",118.45*'DATA INPUT'!E45^3.5959/1000,IF('DATA INPUT'!B45=1,55.075*'DATA INPUT'!E45^4.0991/1000,IF('DATA INPUT'!B45=2,0.3356*'DATA INPUT'!E45^0.9984,FALSE)))))</f>
        <v>0</v>
      </c>
      <c r="D41" s="18" t="b">
        <f>IF('DATA INPUT'!B45="T. ser",0.0615*('DATA INPUT'!F45*'DATA INPUT'!G45)^0.9573,IF('DATA INPUT'!B45="S. mel",46.162*('DATA INPUT'!F45*'DATA INPUT'!G45)^2.3652/1000,IF('DATA INPUT'!B45="V. ref",90.34*('DATA INPUT'!F45*'DATA INPUT'!G45)^1.9756/1000,IF('DATA INPUT'!B45=1,63.022*('DATA INPUT'!F45*'DATA INPUT'!G45)^2.1551/1000,IF('DATA INPUT'!B45=2,0.0615*('DATA INPUT'!F45*'DATA INPUT'!G45)^0.9573,FALSE)))))</f>
        <v>0</v>
      </c>
      <c r="E41" s="8" t="b">
        <f>IF('DATA INPUT'!B45="T. ser",5.0562*('DATA INPUT'!H45*'DATA INPUT'!I45)^0.9574,IF('DATA INPUT'!B45="S. mel",44047*('DATA INPUT'!H45*'DATA INPUT'!I45)^1.5456/1000,IF('DATA INPUT'!B45="V. ref",91930*('DATA INPUT'!H45*'DATA INPUT'!I45)^1.7774/1000,IF('DATA INPUT'!B45=1,62601*('DATA INPUT'!H45*'DATA INPUT'!I45)^1.6463/1000,IF('DATA INPUT'!B45=2,5.0562*('DATA INPUT'!H45*'DATA INPUT'!I45)^0.9574,FALSE)))))</f>
        <v>0</v>
      </c>
      <c r="F41" s="18" t="b">
        <f>IF('DATA INPUT'!B45="T. ser",0.0009*I41^0.4477,IF('DATA INPUT'!B45="S. mel",0.0000004*I41^1.4912/1000,IF('DATA INPUT'!B45="V. ref",0.00000005*I41^1.6284/1000,IF('DATA INPUT'!B45=1,0.0000007*I41^1.4601/1000,IF('DATA INPUT'!B45=2,0.0009*I41^0.4477,FALSE)))))</f>
        <v>0</v>
      </c>
      <c r="G41" s="57">
        <f t="shared" si="0"/>
        <v>0</v>
      </c>
      <c r="H41" s="57"/>
      <c r="I41" s="2" t="b">
        <f>IF('DATA INPUT'!B45="T. ser",3.142*'DATA INPUT'!N45^2*'DATA INPUT'!O45/3+3.142*'DATA INPUT'!P45^2/3*(3*'DATA INPUT'!N45-'DATA INPUT'!P45),IF('DATA INPUT'!B45="S. mel",3.142*'DATA INPUT'!N45^2*'DATA INPUT'!O45/3+3.142*'DATA INPUT'!P45^2/3*(3*'DATA INPUT'!N45-'DATA INPUT'!P45),IF('DATA INPUT'!B45="V. ref",3.142*'DATA INPUT'!N45^2*'DATA INPUT'!O45/3+3.142*'DATA INPUT'!P45^2/3*(3*'DATA INPUT'!N45-'DATA INPUT'!P45),IF('DATA INPUT'!B45=1,3.142*'DATA INPUT'!N45^2*'DATA INPUT'!O45/3+3.142*'DATA INPUT'!P45^2/3*(3*'DATA INPUT'!N45-'DATA INPUT'!P45),IF('DATA INPUT'!B45=2,3.142*'DATA INPUT'!N45^2*'DATA INPUT'!O45/3+3.142*'DATA INPUT'!P45^2/3*(3*'DATA INPUT'!N45-'DATA INPUT'!P45),FALSE)))))</f>
        <v>0</v>
      </c>
      <c r="J41" s="2" t="b">
        <f>IF('DATA INPUT'!B45="T. ser",0.0458*CALCULATIONS!I41^0.6841,IF('DATA INPUT'!B45="S. mel",0.6047*CALCULATIONS!I41^0.6433,IF('DATA INPUT'!B45="V. ref",0.77086*CALCULATIONS!I41^0.4936,IF('DATA INPUT'!B45=1,0.68778*CALCULATIONS!I41^0.56845,IF('DATA INPUT'!B45=2,0.0458*CALCULATIONS!I41^0.6841,FALSE)))))</f>
        <v>0</v>
      </c>
      <c r="K41" s="3">
        <f t="shared" si="1"/>
        <v>0</v>
      </c>
      <c r="L41" s="3" t="b">
        <f>IF('DATA INPUT'!B45="T. ser",('DATA INPUT'!D45+'DATA INPUT'!F45+'DATA INPUT'!H45+'DATA INPUT'!J45)/1.5,IF('DATA INPUT'!B45="V. ref",('DATA INPUT'!D45+'DATA INPUT'!F45+'DATA INPUT'!H45+'DATA INPUT'!J45)/1.5,IF('DATA INPUT'!B45="S. mel",('DATA INPUT'!D45+'DATA INPUT'!F45+'DATA INPUT'!H45+'DATA INPUT'!J45)/1.5,IF('DATA INPUT'!B45=1,('DATA INPUT'!D45+'DATA INPUT'!F45+'DATA INPUT'!H45+'DATA INPUT'!J45)/1.5,IF('DATA INPUT'!B45=2,('DATA INPUT'!D45+'DATA INPUT'!F45+'DATA INPUT'!H45+'DATA INPUT'!J45)/1.5,FALSE)))))</f>
        <v>0</v>
      </c>
      <c r="N41" s="16">
        <f>'DATA INPUT'!C45</f>
        <v>0</v>
      </c>
      <c r="O41" s="3" t="b">
        <f>IF('DATA INPUT'!B45="T. ser",0.3446*'DATA INPUT'!D45^1.0619,IF('DATA INPUT'!B45="S. mel",(1270.6*'DATA INPUT'!D45^2.0933)/1000,IF('DATA INPUT'!B45="V. ref",(816.25*'DATA INPUT'!D45^2.1754)/1000,IF('DATA INPUT'!B45=1,(1492.4*'DATA INPUT'!D45^1.7591)/1000,IF('DATA INPUT'!B45=2,0.3446*'DATA INPUT'!D45^1.0619,FALSE)))))</f>
        <v>0</v>
      </c>
      <c r="P41" s="3" t="b">
        <f>IF('DATA INPUT'!B45="T. ser",0.3662*'DATA INPUT'!E45^1.5061,IF('DATA INPUT'!B45="S. mel",(748.47*'DATA INPUT'!E45^2.2691)/1000,IF('DATA INPUT'!B45="V. ref",(953.69*'DATA INPUT'!E45^1.9524)/1000,IF('DATA INPUT'!B45=1,(695.02*'DATA INPUT'!E45^2.3452)/1000,IF('DATA INPUT'!B45=2,0.3662*'DATA INPUT'!E45^1.5061,FALSE)))))</f>
        <v>0</v>
      </c>
      <c r="Q41" s="3" t="b">
        <f>IF('DATA INPUT'!B45="T. ser",0.1225*('DATA INPUT'!F45*'DATA INPUT'!G45)^0.8272,IF('DATA INPUT'!B45="S. mel",(925.08*('DATA INPUT'!F45*'DATA INPUT'!G45)^1.1603)/1000,IF('DATA INPUT'!B45="V. ref",(776.29*('DATA INPUT'!F45*'DATA INPUT'!G45)^1.1226)/1000,IF('DATA INPUT'!B45=1,(884.6*('DATA INPUT'!F45*'DATA INPUT'!G45)^1.129)/1000,IF('DATA INPUT'!B45=2,0.1225*('DATA INPUT'!F45*'DATA INPUT'!G45)^0.8272,FALSE)))))</f>
        <v>0</v>
      </c>
      <c r="R41" s="3" t="b">
        <f>IF('DATA INPUT'!B45="T. ser",5.5287*('DATA INPUT'!H45*'DATA INPUT'!I45)^0.8272,IF('DATA INPUT'!B45="S. mel",(31469*('DATA INPUT'!H45*'DATA INPUT'!I45)^0.8608)/1000,IF('DATA INPUT'!B45="V. ref",(39394*('DATA INPUT'!H45*'DATA INPUT'!I45)^1.005)/1000,IF('DATA INPUT'!B45=1,(31791*('DATA INPUT'!H45*'DATA INPUT'!I45)^0.8467)/1000,IF('DATA INPUT'!B45=2,5.5287*('DATA INPUT'!H45*'DATA INPUT'!I45)^0.8272,FALSE)))))</f>
        <v>0</v>
      </c>
      <c r="S41" s="3" t="b">
        <f>IF('DATA INPUT'!B45="T. ser",0.0005*I41^0.5148,IF('DATA INPUT'!B45="S. mel",0.051*I41^0.7789/1000,IF('DATA INPUT'!B45="V. ref",0.0958*I41^0.7253/1000,IF('DATA INPUT'!B45=1,0.0426*I41^0.786/1000,IF('DATA INPUT'!B45=2,0.0005*I41^0.5148,FALSE)))))</f>
        <v>0</v>
      </c>
      <c r="T41" s="59">
        <f t="shared" si="2"/>
        <v>0</v>
      </c>
    </row>
    <row r="42" spans="1:40" x14ac:dyDescent="0.2">
      <c r="A42" s="16">
        <f>'DATA INPUT'!C46</f>
        <v>0</v>
      </c>
      <c r="B42" s="11" t="b">
        <f>IF('DATA INPUT'!B46="T. ser",0.1656*'DATA INPUT'!D46^1.4655,IF('DATA INPUT'!B46="S. mel",135.53*'DATA INPUT'!D46^3.8701/1000,IF('DATA INPUT'!B46="V. ref",143.01*'DATA INPUT'!D46^3.3147/1000,IF('DATA INPUT'!B46=1,143.35*'DATA INPUT'!D46^3.6046/1000,IF('DATA INPUT'!B46=2,0.1656*'DATA INPUT'!D46^1.4655,FALSE)))))</f>
        <v>0</v>
      </c>
      <c r="C42" s="8" t="b">
        <f>IF('DATA INPUT'!B46="T. ser",0.3356*'DATA INPUT'!E46^0.9984,IF('DATA INPUT'!B46="S. mel",24.906*'DATA INPUT'!E46^4.7681/1000,IF('DATA INPUT'!B46="V. ref",118.45*'DATA INPUT'!E46^3.5959/1000,IF('DATA INPUT'!B46=1,55.075*'DATA INPUT'!E46^4.0991/1000,IF('DATA INPUT'!B46=2,0.3356*'DATA INPUT'!E46^0.9984,FALSE)))))</f>
        <v>0</v>
      </c>
      <c r="D42" s="18" t="b">
        <f>IF('DATA INPUT'!B46="T. ser",0.0615*('DATA INPUT'!F46*'DATA INPUT'!G46)^0.9573,IF('DATA INPUT'!B46="S. mel",46.162*('DATA INPUT'!F46*'DATA INPUT'!G46)^2.3652/1000,IF('DATA INPUT'!B46="V. ref",90.34*('DATA INPUT'!F46*'DATA INPUT'!G46)^1.9756/1000,IF('DATA INPUT'!B46=1,63.022*('DATA INPUT'!F46*'DATA INPUT'!G46)^2.1551/1000,IF('DATA INPUT'!B46=2,0.0615*('DATA INPUT'!F46*'DATA INPUT'!G46)^0.9573,FALSE)))))</f>
        <v>0</v>
      </c>
      <c r="E42" s="8" t="b">
        <f>IF('DATA INPUT'!B46="T. ser",5.0562*('DATA INPUT'!H46*'DATA INPUT'!I46)^0.9574,IF('DATA INPUT'!B46="S. mel",44047*('DATA INPUT'!H46*'DATA INPUT'!I46)^1.5456/1000,IF('DATA INPUT'!B46="V. ref",91930*('DATA INPUT'!H46*'DATA INPUT'!I46)^1.7774/1000,IF('DATA INPUT'!B46=1,62601*('DATA INPUT'!H46*'DATA INPUT'!I46)^1.6463/1000,IF('DATA INPUT'!B46=2,5.0562*('DATA INPUT'!H46*'DATA INPUT'!I46)^0.9574,FALSE)))))</f>
        <v>0</v>
      </c>
      <c r="F42" s="18" t="b">
        <f>IF('DATA INPUT'!B46="T. ser",0.0009*I42^0.4477,IF('DATA INPUT'!B46="S. mel",0.0000004*I42^1.4912/1000,IF('DATA INPUT'!B46="V. ref",0.00000005*I42^1.6284/1000,IF('DATA INPUT'!B46=1,0.0000007*I42^1.4601/1000,IF('DATA INPUT'!B46=2,0.0009*I42^0.4477,FALSE)))))</f>
        <v>0</v>
      </c>
      <c r="G42" s="57">
        <f t="shared" si="0"/>
        <v>0</v>
      </c>
      <c r="H42" s="57"/>
      <c r="I42" s="2" t="b">
        <f>IF('DATA INPUT'!B46="T. ser",3.142*'DATA INPUT'!N46^2*'DATA INPUT'!O46/3+3.142*'DATA INPUT'!P46^2/3*(3*'DATA INPUT'!N46-'DATA INPUT'!P46),IF('DATA INPUT'!B46="S. mel",3.142*'DATA INPUT'!N46^2*'DATA INPUT'!O46/3+3.142*'DATA INPUT'!P46^2/3*(3*'DATA INPUT'!N46-'DATA INPUT'!P46),IF('DATA INPUT'!B46="V. ref",3.142*'DATA INPUT'!N46^2*'DATA INPUT'!O46/3+3.142*'DATA INPUT'!P46^2/3*(3*'DATA INPUT'!N46-'DATA INPUT'!P46),IF('DATA INPUT'!B46=1,3.142*'DATA INPUT'!N46^2*'DATA INPUT'!O46/3+3.142*'DATA INPUT'!P46^2/3*(3*'DATA INPUT'!N46-'DATA INPUT'!P46),IF('DATA INPUT'!B46=2,3.142*'DATA INPUT'!N46^2*'DATA INPUT'!O46/3+3.142*'DATA INPUT'!P46^2/3*(3*'DATA INPUT'!N46-'DATA INPUT'!P46),FALSE)))))</f>
        <v>0</v>
      </c>
      <c r="J42" s="2" t="b">
        <f>IF('DATA INPUT'!B46="T. ser",0.0458*CALCULATIONS!I42^0.6841,IF('DATA INPUT'!B46="S. mel",0.6047*CALCULATIONS!I42^0.6433,IF('DATA INPUT'!B46="V. ref",0.77086*CALCULATIONS!I42^0.4936,IF('DATA INPUT'!B46=1,0.68778*CALCULATIONS!I42^0.56845,IF('DATA INPUT'!B46=2,0.0458*CALCULATIONS!I42^0.6841,FALSE)))))</f>
        <v>0</v>
      </c>
      <c r="K42" s="3">
        <f t="shared" si="1"/>
        <v>0</v>
      </c>
      <c r="L42" s="3" t="b">
        <f>IF('DATA INPUT'!B46="T. ser",('DATA INPUT'!D46+'DATA INPUT'!F46+'DATA INPUT'!H46+'DATA INPUT'!J46)/1.5,IF('DATA INPUT'!B46="V. ref",('DATA INPUT'!D46+'DATA INPUT'!F46+'DATA INPUT'!H46+'DATA INPUT'!J46)/1.5,IF('DATA INPUT'!B46="S. mel",('DATA INPUT'!D46+'DATA INPUT'!F46+'DATA INPUT'!H46+'DATA INPUT'!J46)/1.5,IF('DATA INPUT'!B46=1,('DATA INPUT'!D46+'DATA INPUT'!F46+'DATA INPUT'!H46+'DATA INPUT'!J46)/1.5,IF('DATA INPUT'!B46=2,('DATA INPUT'!D46+'DATA INPUT'!F46+'DATA INPUT'!H46+'DATA INPUT'!J46)/1.5,FALSE)))))</f>
        <v>0</v>
      </c>
      <c r="N42" s="16">
        <f>'DATA INPUT'!C46</f>
        <v>0</v>
      </c>
      <c r="O42" s="3" t="b">
        <f>IF('DATA INPUT'!B46="T. ser",0.3446*'DATA INPUT'!D46^1.0619,IF('DATA INPUT'!B46="S. mel",(1270.6*'DATA INPUT'!D46^2.0933)/1000,IF('DATA INPUT'!B46="V. ref",(816.25*'DATA INPUT'!D46^2.1754)/1000,IF('DATA INPUT'!B46=1,(1492.4*'DATA INPUT'!D46^1.7591)/1000,IF('DATA INPUT'!B46=2,0.3446*'DATA INPUT'!D46^1.0619,FALSE)))))</f>
        <v>0</v>
      </c>
      <c r="P42" s="3" t="b">
        <f>IF('DATA INPUT'!B46="T. ser",0.3662*'DATA INPUT'!E46^1.5061,IF('DATA INPUT'!B46="S. mel",(748.47*'DATA INPUT'!E46^2.2691)/1000,IF('DATA INPUT'!B46="V. ref",(953.69*'DATA INPUT'!E46^1.9524)/1000,IF('DATA INPUT'!B46=1,(695.02*'DATA INPUT'!E46^2.3452)/1000,IF('DATA INPUT'!B46=2,0.3662*'DATA INPUT'!E46^1.5061,FALSE)))))</f>
        <v>0</v>
      </c>
      <c r="Q42" s="3" t="b">
        <f>IF('DATA INPUT'!B46="T. ser",0.1225*('DATA INPUT'!F46*'DATA INPUT'!G46)^0.8272,IF('DATA INPUT'!B46="S. mel",(925.08*('DATA INPUT'!F46*'DATA INPUT'!G46)^1.1603)/1000,IF('DATA INPUT'!B46="V. ref",(776.29*('DATA INPUT'!F46*'DATA INPUT'!G46)^1.1226)/1000,IF('DATA INPUT'!B46=1,(884.6*('DATA INPUT'!F46*'DATA INPUT'!G46)^1.129)/1000,IF('DATA INPUT'!B46=2,0.1225*('DATA INPUT'!F46*'DATA INPUT'!G46)^0.8272,FALSE)))))</f>
        <v>0</v>
      </c>
      <c r="R42" s="3" t="b">
        <f>IF('DATA INPUT'!B46="T. ser",5.5287*('DATA INPUT'!H46*'DATA INPUT'!I46)^0.8272,IF('DATA INPUT'!B46="S. mel",(31469*('DATA INPUT'!H46*'DATA INPUT'!I46)^0.8608)/1000,IF('DATA INPUT'!B46="V. ref",(39394*('DATA INPUT'!H46*'DATA INPUT'!I46)^1.005)/1000,IF('DATA INPUT'!B46=1,(31791*('DATA INPUT'!H46*'DATA INPUT'!I46)^0.8467)/1000,IF('DATA INPUT'!B46=2,5.5287*('DATA INPUT'!H46*'DATA INPUT'!I46)^0.8272,FALSE)))))</f>
        <v>0</v>
      </c>
      <c r="S42" s="3" t="b">
        <f>IF('DATA INPUT'!B46="T. ser",0.0005*I42^0.5148,IF('DATA INPUT'!B46="S. mel",0.051*I42^0.7789/1000,IF('DATA INPUT'!B46="V. ref",0.0958*I42^0.7253/1000,IF('DATA INPUT'!B46=1,0.0426*I42^0.786/1000,IF('DATA INPUT'!B46=2,0.0005*I42^0.5148,FALSE)))))</f>
        <v>0</v>
      </c>
      <c r="T42" s="59">
        <f t="shared" si="2"/>
        <v>0</v>
      </c>
    </row>
    <row r="43" spans="1:40" x14ac:dyDescent="0.2">
      <c r="A43" s="16">
        <f>'DATA INPUT'!C47</f>
        <v>0</v>
      </c>
      <c r="B43" s="11" t="b">
        <f>IF('DATA INPUT'!B47="T. ser",0.1656*'DATA INPUT'!D47^1.4655,IF('DATA INPUT'!B47="S. mel",135.53*'DATA INPUT'!D47^3.8701/1000,IF('DATA INPUT'!B47="V. ref",143.01*'DATA INPUT'!D47^3.3147/1000,IF('DATA INPUT'!B47=1,143.35*'DATA INPUT'!D47^3.6046/1000,IF('DATA INPUT'!B47=2,0.1656*'DATA INPUT'!D47^1.4655,FALSE)))))</f>
        <v>0</v>
      </c>
      <c r="C43" s="8" t="b">
        <f>IF('DATA INPUT'!B47="T. ser",0.3356*'DATA INPUT'!E47^0.9984,IF('DATA INPUT'!B47="S. mel",24.906*'DATA INPUT'!E47^4.7681/1000,IF('DATA INPUT'!B47="V. ref",118.45*'DATA INPUT'!E47^3.5959/1000,IF('DATA INPUT'!B47=1,55.075*'DATA INPUT'!E47^4.0991/1000,IF('DATA INPUT'!B47=2,0.3356*'DATA INPUT'!E47^0.9984,FALSE)))))</f>
        <v>0</v>
      </c>
      <c r="D43" s="18" t="b">
        <f>IF('DATA INPUT'!B47="T. ser",0.0615*('DATA INPUT'!F47*'DATA INPUT'!G47)^0.9573,IF('DATA INPUT'!B47="S. mel",46.162*('DATA INPUT'!F47*'DATA INPUT'!G47)^2.3652/1000,IF('DATA INPUT'!B47="V. ref",90.34*('DATA INPUT'!F47*'DATA INPUT'!G47)^1.9756/1000,IF('DATA INPUT'!B47=1,63.022*('DATA INPUT'!F47*'DATA INPUT'!G47)^2.1551/1000,IF('DATA INPUT'!B47=2,0.0615*('DATA INPUT'!F47*'DATA INPUT'!G47)^0.9573,FALSE)))))</f>
        <v>0</v>
      </c>
      <c r="E43" s="8" t="b">
        <f>IF('DATA INPUT'!B47="T. ser",5.0562*('DATA INPUT'!H47*'DATA INPUT'!I47)^0.9574,IF('DATA INPUT'!B47="S. mel",44047*('DATA INPUT'!H47*'DATA INPUT'!I47)^1.5456/1000,IF('DATA INPUT'!B47="V. ref",91930*('DATA INPUT'!H47*'DATA INPUT'!I47)^1.7774/1000,IF('DATA INPUT'!B47=1,62601*('DATA INPUT'!H47*'DATA INPUT'!I47)^1.6463/1000,IF('DATA INPUT'!B47=2,5.0562*('DATA INPUT'!H47*'DATA INPUT'!I47)^0.9574,FALSE)))))</f>
        <v>0</v>
      </c>
      <c r="F43" s="18" t="b">
        <f>IF('DATA INPUT'!B47="T. ser",0.0009*I43^0.4477,IF('DATA INPUT'!B47="S. mel",0.0000004*I43^1.4912/1000,IF('DATA INPUT'!B47="V. ref",0.00000005*I43^1.6284/1000,IF('DATA INPUT'!B47=1,0.0000007*I43^1.4601/1000,IF('DATA INPUT'!B47=2,0.0009*I43^0.4477,FALSE)))))</f>
        <v>0</v>
      </c>
      <c r="G43" s="57">
        <f t="shared" si="0"/>
        <v>0</v>
      </c>
      <c r="H43" s="57"/>
      <c r="I43" s="2" t="b">
        <f>IF('DATA INPUT'!B47="T. ser",3.142*'DATA INPUT'!N47^2*'DATA INPUT'!O47/3+3.142*'DATA INPUT'!P47^2/3*(3*'DATA INPUT'!N47-'DATA INPUT'!P47),IF('DATA INPUT'!B47="S. mel",3.142*'DATA INPUT'!N47^2*'DATA INPUT'!O47/3+3.142*'DATA INPUT'!P47^2/3*(3*'DATA INPUT'!N47-'DATA INPUT'!P47),IF('DATA INPUT'!B47="V. ref",3.142*'DATA INPUT'!N47^2*'DATA INPUT'!O47/3+3.142*'DATA INPUT'!P47^2/3*(3*'DATA INPUT'!N47-'DATA INPUT'!P47),IF('DATA INPUT'!B47=1,3.142*'DATA INPUT'!N47^2*'DATA INPUT'!O47/3+3.142*'DATA INPUT'!P47^2/3*(3*'DATA INPUT'!N47-'DATA INPUT'!P47),IF('DATA INPUT'!B47=2,3.142*'DATA INPUT'!N47^2*'DATA INPUT'!O47/3+3.142*'DATA INPUT'!P47^2/3*(3*'DATA INPUT'!N47-'DATA INPUT'!P47),FALSE)))))</f>
        <v>0</v>
      </c>
      <c r="J43" s="2" t="b">
        <f>IF('DATA INPUT'!B47="T. ser",0.0458*CALCULATIONS!I43^0.6841,IF('DATA INPUT'!B47="S. mel",0.6047*CALCULATIONS!I43^0.6433,IF('DATA INPUT'!B47="V. ref",0.77086*CALCULATIONS!I43^0.4936,IF('DATA INPUT'!B47=1,0.68778*CALCULATIONS!I43^0.56845,IF('DATA INPUT'!B47=2,0.0458*CALCULATIONS!I43^0.6841,FALSE)))))</f>
        <v>0</v>
      </c>
      <c r="K43" s="3">
        <f t="shared" si="1"/>
        <v>0</v>
      </c>
      <c r="L43" s="3" t="b">
        <f>IF('DATA INPUT'!B47="T. ser",('DATA INPUT'!D47+'DATA INPUT'!F47+'DATA INPUT'!H47+'DATA INPUT'!J47)/1.5,IF('DATA INPUT'!B47="V. ref",('DATA INPUT'!D47+'DATA INPUT'!F47+'DATA INPUT'!H47+'DATA INPUT'!J47)/1.5,IF('DATA INPUT'!B47="S. mel",('DATA INPUT'!D47+'DATA INPUT'!F47+'DATA INPUT'!H47+'DATA INPUT'!J47)/1.5,IF('DATA INPUT'!B47=1,('DATA INPUT'!D47+'DATA INPUT'!F47+'DATA INPUT'!H47+'DATA INPUT'!J47)/1.5,IF('DATA INPUT'!B47=2,('DATA INPUT'!D47+'DATA INPUT'!F47+'DATA INPUT'!H47+'DATA INPUT'!J47)/1.5,FALSE)))))</f>
        <v>0</v>
      </c>
      <c r="N43" s="16">
        <f>'DATA INPUT'!C47</f>
        <v>0</v>
      </c>
      <c r="O43" s="3" t="b">
        <f>IF('DATA INPUT'!B47="T. ser",0.3446*'DATA INPUT'!D47^1.0619,IF('DATA INPUT'!B47="S. mel",(1270.6*'DATA INPUT'!D47^2.0933)/1000,IF('DATA INPUT'!B47="V. ref",(816.25*'DATA INPUT'!D47^2.1754)/1000,IF('DATA INPUT'!B47=1,(1492.4*'DATA INPUT'!D47^1.7591)/1000,IF('DATA INPUT'!B47=2,0.3446*'DATA INPUT'!D47^1.0619,FALSE)))))</f>
        <v>0</v>
      </c>
      <c r="P43" s="3" t="b">
        <f>IF('DATA INPUT'!B47="T. ser",0.3662*'DATA INPUT'!E47^1.5061,IF('DATA INPUT'!B47="S. mel",(748.47*'DATA INPUT'!E47^2.2691)/1000,IF('DATA INPUT'!B47="V. ref",(953.69*'DATA INPUT'!E47^1.9524)/1000,IF('DATA INPUT'!B47=1,(695.02*'DATA INPUT'!E47^2.3452)/1000,IF('DATA INPUT'!B47=2,0.3662*'DATA INPUT'!E47^1.5061,FALSE)))))</f>
        <v>0</v>
      </c>
      <c r="Q43" s="3" t="b">
        <f>IF('DATA INPUT'!B47="T. ser",0.1225*('DATA INPUT'!F47*'DATA INPUT'!G47)^0.8272,IF('DATA INPUT'!B47="S. mel",(925.08*('DATA INPUT'!F47*'DATA INPUT'!G47)^1.1603)/1000,IF('DATA INPUT'!B47="V. ref",(776.29*('DATA INPUT'!F47*'DATA INPUT'!G47)^1.1226)/1000,IF('DATA INPUT'!B47=1,(884.6*('DATA INPUT'!F47*'DATA INPUT'!G47)^1.129)/1000,IF('DATA INPUT'!B47=2,0.1225*('DATA INPUT'!F47*'DATA INPUT'!G47)^0.8272,FALSE)))))</f>
        <v>0</v>
      </c>
      <c r="R43" s="3" t="b">
        <f>IF('DATA INPUT'!B47="T. ser",5.5287*('DATA INPUT'!H47*'DATA INPUT'!I47)^0.8272,IF('DATA INPUT'!B47="S. mel",(31469*('DATA INPUT'!H47*'DATA INPUT'!I47)^0.8608)/1000,IF('DATA INPUT'!B47="V. ref",(39394*('DATA INPUT'!H47*'DATA INPUT'!I47)^1.005)/1000,IF('DATA INPUT'!B47=1,(31791*('DATA INPUT'!H47*'DATA INPUT'!I47)^0.8467)/1000,IF('DATA INPUT'!B47=2,5.5287*('DATA INPUT'!H47*'DATA INPUT'!I47)^0.8272,FALSE)))))</f>
        <v>0</v>
      </c>
      <c r="S43" s="3" t="b">
        <f>IF('DATA INPUT'!B47="T. ser",0.0005*I43^0.5148,IF('DATA INPUT'!B47="S. mel",0.051*I43^0.7789/1000,IF('DATA INPUT'!B47="V. ref",0.0958*I43^0.7253/1000,IF('DATA INPUT'!B47=1,0.0426*I43^0.786/1000,IF('DATA INPUT'!B47=2,0.0005*I43^0.5148,FALSE)))))</f>
        <v>0</v>
      </c>
      <c r="T43" s="59">
        <f t="shared" si="2"/>
        <v>0</v>
      </c>
    </row>
    <row r="44" spans="1:40" x14ac:dyDescent="0.2">
      <c r="A44" s="16">
        <f>'DATA INPUT'!C48</f>
        <v>0</v>
      </c>
      <c r="B44" s="11" t="b">
        <f>IF('DATA INPUT'!B48="T. ser",0.1656*'DATA INPUT'!D48^1.4655,IF('DATA INPUT'!B48="S. mel",135.53*'DATA INPUT'!D48^3.8701/1000,IF('DATA INPUT'!B48="V. ref",143.01*'DATA INPUT'!D48^3.3147/1000,IF('DATA INPUT'!B48=1,143.35*'DATA INPUT'!D48^3.6046/1000,IF('DATA INPUT'!B48=2,0.1656*'DATA INPUT'!D48^1.4655,FALSE)))))</f>
        <v>0</v>
      </c>
      <c r="C44" s="8" t="b">
        <f>IF('DATA INPUT'!B48="T. ser",0.3356*'DATA INPUT'!E48^0.9984,IF('DATA INPUT'!B48="S. mel",24.906*'DATA INPUT'!E48^4.7681/1000,IF('DATA INPUT'!B48="V. ref",118.45*'DATA INPUT'!E48^3.5959/1000,IF('DATA INPUT'!B48=1,55.075*'DATA INPUT'!E48^4.0991/1000,IF('DATA INPUT'!B48=2,0.3356*'DATA INPUT'!E48^0.9984,FALSE)))))</f>
        <v>0</v>
      </c>
      <c r="D44" s="18" t="b">
        <f>IF('DATA INPUT'!B48="T. ser",0.0615*('DATA INPUT'!F48*'DATA INPUT'!G48)^0.9573,IF('DATA INPUT'!B48="S. mel",46.162*('DATA INPUT'!F48*'DATA INPUT'!G48)^2.3652/1000,IF('DATA INPUT'!B48="V. ref",90.34*('DATA INPUT'!F48*'DATA INPUT'!G48)^1.9756/1000,IF('DATA INPUT'!B48=1,63.022*('DATA INPUT'!F48*'DATA INPUT'!G48)^2.1551/1000,IF('DATA INPUT'!B48=2,0.0615*('DATA INPUT'!F48*'DATA INPUT'!G48)^0.9573,FALSE)))))</f>
        <v>0</v>
      </c>
      <c r="E44" s="8" t="b">
        <f>IF('DATA INPUT'!B48="T. ser",5.0562*('DATA INPUT'!H48*'DATA INPUT'!I48)^0.9574,IF('DATA INPUT'!B48="S. mel",44047*('DATA INPUT'!H48*'DATA INPUT'!I48)^1.5456/1000,IF('DATA INPUT'!B48="V. ref",91930*('DATA INPUT'!H48*'DATA INPUT'!I48)^1.7774/1000,IF('DATA INPUT'!B48=1,62601*('DATA INPUT'!H48*'DATA INPUT'!I48)^1.6463/1000,IF('DATA INPUT'!B48=2,5.0562*('DATA INPUT'!H48*'DATA INPUT'!I48)^0.9574,FALSE)))))</f>
        <v>0</v>
      </c>
      <c r="F44" s="18" t="b">
        <f>IF('DATA INPUT'!B48="T. ser",0.0009*I44^0.4477,IF('DATA INPUT'!B48="S. mel",0.0000004*I44^1.4912/1000,IF('DATA INPUT'!B48="V. ref",0.00000005*I44^1.6284/1000,IF('DATA INPUT'!B48=1,0.0000007*I44^1.4601/1000,IF('DATA INPUT'!B48=2,0.0009*I44^0.4477,FALSE)))))</f>
        <v>0</v>
      </c>
      <c r="G44" s="57">
        <f t="shared" si="0"/>
        <v>0</v>
      </c>
      <c r="H44" s="57"/>
      <c r="I44" s="2" t="b">
        <f>IF('DATA INPUT'!B48="T. ser",3.142*'DATA INPUT'!N48^2*'DATA INPUT'!O48/3+3.142*'DATA INPUT'!P48^2/3*(3*'DATA INPUT'!N48-'DATA INPUT'!P48),IF('DATA INPUT'!B48="S. mel",3.142*'DATA INPUT'!N48^2*'DATA INPUT'!O48/3+3.142*'DATA INPUT'!P48^2/3*(3*'DATA INPUT'!N48-'DATA INPUT'!P48),IF('DATA INPUT'!B48="V. ref",3.142*'DATA INPUT'!N48^2*'DATA INPUT'!O48/3+3.142*'DATA INPUT'!P48^2/3*(3*'DATA INPUT'!N48-'DATA INPUT'!P48),IF('DATA INPUT'!B48=1,3.142*'DATA INPUT'!N48^2*'DATA INPUT'!O48/3+3.142*'DATA INPUT'!P48^2/3*(3*'DATA INPUT'!N48-'DATA INPUT'!P48),IF('DATA INPUT'!B48=2,3.142*'DATA INPUT'!N48^2*'DATA INPUT'!O48/3+3.142*'DATA INPUT'!P48^2/3*(3*'DATA INPUT'!N48-'DATA INPUT'!P48),FALSE)))))</f>
        <v>0</v>
      </c>
      <c r="J44" s="2" t="b">
        <f>IF('DATA INPUT'!B48="T. ser",0.0458*CALCULATIONS!I44^0.6841,IF('DATA INPUT'!B48="S. mel",0.6047*CALCULATIONS!I44^0.6433,IF('DATA INPUT'!B48="V. ref",0.77086*CALCULATIONS!I44^0.4936,IF('DATA INPUT'!B48=1,0.68778*CALCULATIONS!I44^0.56845,IF('DATA INPUT'!B48=2,0.0458*CALCULATIONS!I44^0.6841,FALSE)))))</f>
        <v>0</v>
      </c>
      <c r="K44" s="3">
        <f t="shared" si="1"/>
        <v>0</v>
      </c>
      <c r="L44" s="3" t="b">
        <f>IF('DATA INPUT'!B48="T. ser",('DATA INPUT'!D48+'DATA INPUT'!F48+'DATA INPUT'!H48+'DATA INPUT'!J48)/1.5,IF('DATA INPUT'!B48="V. ref",('DATA INPUT'!D48+'DATA INPUT'!F48+'DATA INPUT'!H48+'DATA INPUT'!J48)/1.5,IF('DATA INPUT'!B48="S. mel",('DATA INPUT'!D48+'DATA INPUT'!F48+'DATA INPUT'!H48+'DATA INPUT'!J48)/1.5,IF('DATA INPUT'!B48=1,('DATA INPUT'!D48+'DATA INPUT'!F48+'DATA INPUT'!H48+'DATA INPUT'!J48)/1.5,IF('DATA INPUT'!B48=2,('DATA INPUT'!D48+'DATA INPUT'!F48+'DATA INPUT'!H48+'DATA INPUT'!J48)/1.5,FALSE)))))</f>
        <v>0</v>
      </c>
      <c r="N44" s="16">
        <f>'DATA INPUT'!C48</f>
        <v>0</v>
      </c>
      <c r="O44" s="3" t="b">
        <f>IF('DATA INPUT'!B48="T. ser",0.3446*'DATA INPUT'!D48^1.0619,IF('DATA INPUT'!B48="S. mel",(1270.6*'DATA INPUT'!D48^2.0933)/1000,IF('DATA INPUT'!B48="V. ref",(816.25*'DATA INPUT'!D48^2.1754)/1000,IF('DATA INPUT'!B48=1,(1492.4*'DATA INPUT'!D48^1.7591)/1000,IF('DATA INPUT'!B48=2,0.3446*'DATA INPUT'!D48^1.0619,FALSE)))))</f>
        <v>0</v>
      </c>
      <c r="P44" s="3" t="b">
        <f>IF('DATA INPUT'!B48="T. ser",0.3662*'DATA INPUT'!E48^1.5061,IF('DATA INPUT'!B48="S. mel",(748.47*'DATA INPUT'!E48^2.2691)/1000,IF('DATA INPUT'!B48="V. ref",(953.69*'DATA INPUT'!E48^1.9524)/1000,IF('DATA INPUT'!B48=1,(695.02*'DATA INPUT'!E48^2.3452)/1000,IF('DATA INPUT'!B48=2,0.3662*'DATA INPUT'!E48^1.5061,FALSE)))))</f>
        <v>0</v>
      </c>
      <c r="Q44" s="3" t="b">
        <f>IF('DATA INPUT'!B48="T. ser",0.1225*('DATA INPUT'!F48*'DATA INPUT'!G48)^0.8272,IF('DATA INPUT'!B48="S. mel",(925.08*('DATA INPUT'!F48*'DATA INPUT'!G48)^1.1603)/1000,IF('DATA INPUT'!B48="V. ref",(776.29*('DATA INPUT'!F48*'DATA INPUT'!G48)^1.1226)/1000,IF('DATA INPUT'!B48=1,(884.6*('DATA INPUT'!F48*'DATA INPUT'!G48)^1.129)/1000,IF('DATA INPUT'!B48=2,0.1225*('DATA INPUT'!F48*'DATA INPUT'!G48)^0.8272,FALSE)))))</f>
        <v>0</v>
      </c>
      <c r="R44" s="3" t="b">
        <f>IF('DATA INPUT'!B48="T. ser",5.5287*('DATA INPUT'!H48*'DATA INPUT'!I48)^0.8272,IF('DATA INPUT'!B48="S. mel",(31469*('DATA INPUT'!H48*'DATA INPUT'!I48)^0.8608)/1000,IF('DATA INPUT'!B48="V. ref",(39394*('DATA INPUT'!H48*'DATA INPUT'!I48)^1.005)/1000,IF('DATA INPUT'!B48=1,(31791*('DATA INPUT'!H48*'DATA INPUT'!I48)^0.8467)/1000,IF('DATA INPUT'!B48=2,5.5287*('DATA INPUT'!H48*'DATA INPUT'!I48)^0.8272,FALSE)))))</f>
        <v>0</v>
      </c>
      <c r="S44" s="3" t="b">
        <f>IF('DATA INPUT'!B48="T. ser",0.0005*I44^0.5148,IF('DATA INPUT'!B48="S. mel",0.051*I44^0.7789/1000,IF('DATA INPUT'!B48="V. ref",0.0958*I44^0.7253/1000,IF('DATA INPUT'!B48=1,0.0426*I44^0.786/1000,IF('DATA INPUT'!B48=2,0.0005*I44^0.5148,FALSE)))))</f>
        <v>0</v>
      </c>
      <c r="T44" s="59">
        <f t="shared" si="2"/>
        <v>0</v>
      </c>
    </row>
    <row r="45" spans="1:40" x14ac:dyDescent="0.2">
      <c r="A45" s="16">
        <f>'DATA INPUT'!C49</f>
        <v>0</v>
      </c>
      <c r="B45" s="11" t="b">
        <f>IF('DATA INPUT'!B49="T. ser",0.1656*'DATA INPUT'!D49^1.4655,IF('DATA INPUT'!B49="S. mel",135.53*'DATA INPUT'!D49^3.8701/1000,IF('DATA INPUT'!B49="V. ref",143.01*'DATA INPUT'!D49^3.3147/1000,IF('DATA INPUT'!B49=1,143.35*'DATA INPUT'!D49^3.6046/1000,IF('DATA INPUT'!B49=2,0.1656*'DATA INPUT'!D49^1.4655,FALSE)))))</f>
        <v>0</v>
      </c>
      <c r="C45" s="8" t="b">
        <f>IF('DATA INPUT'!B49="T. ser",0.3356*'DATA INPUT'!E49^0.9984,IF('DATA INPUT'!B49="S. mel",24.906*'DATA INPUT'!E49^4.7681/1000,IF('DATA INPUT'!B49="V. ref",118.45*'DATA INPUT'!E49^3.5959/1000,IF('DATA INPUT'!B49=1,55.075*'DATA INPUT'!E49^4.0991/1000,IF('DATA INPUT'!B49=2,0.3356*'DATA INPUT'!E49^0.9984,FALSE)))))</f>
        <v>0</v>
      </c>
      <c r="D45" s="18" t="b">
        <f>IF('DATA INPUT'!B49="T. ser",0.0615*('DATA INPUT'!F49*'DATA INPUT'!G49)^0.9573,IF('DATA INPUT'!B49="S. mel",46.162*('DATA INPUT'!F49*'DATA INPUT'!G49)^2.3652/1000,IF('DATA INPUT'!B49="V. ref",90.34*('DATA INPUT'!F49*'DATA INPUT'!G49)^1.9756/1000,IF('DATA INPUT'!B49=1,63.022*('DATA INPUT'!F49*'DATA INPUT'!G49)^2.1551/1000,IF('DATA INPUT'!B49=2,0.0615*('DATA INPUT'!F49*'DATA INPUT'!G49)^0.9573,FALSE)))))</f>
        <v>0</v>
      </c>
      <c r="E45" s="8" t="b">
        <f>IF('DATA INPUT'!B49="T. ser",5.0562*('DATA INPUT'!H49*'DATA INPUT'!I49)^0.9574,IF('DATA INPUT'!B49="S. mel",44047*('DATA INPUT'!H49*'DATA INPUT'!I49)^1.5456/1000,IF('DATA INPUT'!B49="V. ref",91930*('DATA INPUT'!H49*'DATA INPUT'!I49)^1.7774/1000,IF('DATA INPUT'!B49=1,62601*('DATA INPUT'!H49*'DATA INPUT'!I49)^1.6463/1000,IF('DATA INPUT'!B49=2,5.0562*('DATA INPUT'!H49*'DATA INPUT'!I49)^0.9574,FALSE)))))</f>
        <v>0</v>
      </c>
      <c r="F45" s="18" t="b">
        <f>IF('DATA INPUT'!B49="T. ser",0.0009*I45^0.4477,IF('DATA INPUT'!B49="S. mel",0.0000004*I45^1.4912/1000,IF('DATA INPUT'!B49="V. ref",0.00000005*I45^1.6284/1000,IF('DATA INPUT'!B49=1,0.0000007*I45^1.4601/1000,IF('DATA INPUT'!B49=2,0.0009*I45^0.4477,FALSE)))))</f>
        <v>0</v>
      </c>
      <c r="G45" s="57">
        <f t="shared" si="0"/>
        <v>0</v>
      </c>
      <c r="H45" s="57"/>
      <c r="I45" s="2" t="b">
        <f>IF('DATA INPUT'!B49="T. ser",3.142*'DATA INPUT'!N49^2*'DATA INPUT'!O49/3+3.142*'DATA INPUT'!P49^2/3*(3*'DATA INPUT'!N49-'DATA INPUT'!P49),IF('DATA INPUT'!B49="S. mel",3.142*'DATA INPUT'!N49^2*'DATA INPUT'!O49/3+3.142*'DATA INPUT'!P49^2/3*(3*'DATA INPUT'!N49-'DATA INPUT'!P49),IF('DATA INPUT'!B49="V. ref",3.142*'DATA INPUT'!N49^2*'DATA INPUT'!O49/3+3.142*'DATA INPUT'!P49^2/3*(3*'DATA INPUT'!N49-'DATA INPUT'!P49),IF('DATA INPUT'!B49=1,3.142*'DATA INPUT'!N49^2*'DATA INPUT'!O49/3+3.142*'DATA INPUT'!P49^2/3*(3*'DATA INPUT'!N49-'DATA INPUT'!P49),IF('DATA INPUT'!B49=2,3.142*'DATA INPUT'!N49^2*'DATA INPUT'!O49/3+3.142*'DATA INPUT'!P49^2/3*(3*'DATA INPUT'!N49-'DATA INPUT'!P49),FALSE)))))</f>
        <v>0</v>
      </c>
      <c r="J45" s="2" t="b">
        <f>IF('DATA INPUT'!B49="T. ser",0.0458*CALCULATIONS!I45^0.6841,IF('DATA INPUT'!B49="S. mel",0.6047*CALCULATIONS!I45^0.6433,IF('DATA INPUT'!B49="V. ref",0.77086*CALCULATIONS!I45^0.4936,IF('DATA INPUT'!B49=1,0.68778*CALCULATIONS!I45^0.56845,IF('DATA INPUT'!B49=2,0.0458*CALCULATIONS!I45^0.6841,FALSE)))))</f>
        <v>0</v>
      </c>
      <c r="K45" s="3">
        <f t="shared" si="1"/>
        <v>0</v>
      </c>
      <c r="L45" s="3" t="b">
        <f>IF('DATA INPUT'!B49="T. ser",('DATA INPUT'!D49+'DATA INPUT'!F49+'DATA INPUT'!H49+'DATA INPUT'!J49)/1.5,IF('DATA INPUT'!B49="V. ref",('DATA INPUT'!D49+'DATA INPUT'!F49+'DATA INPUT'!H49+'DATA INPUT'!J49)/1.5,IF('DATA INPUT'!B49="S. mel",('DATA INPUT'!D49+'DATA INPUT'!F49+'DATA INPUT'!H49+'DATA INPUT'!J49)/1.5,IF('DATA INPUT'!B49=1,('DATA INPUT'!D49+'DATA INPUT'!F49+'DATA INPUT'!H49+'DATA INPUT'!J49)/1.5,IF('DATA INPUT'!B49=2,('DATA INPUT'!D49+'DATA INPUT'!F49+'DATA INPUT'!H49+'DATA INPUT'!J49)/1.5,FALSE)))))</f>
        <v>0</v>
      </c>
      <c r="N45" s="16">
        <f>'DATA INPUT'!C49</f>
        <v>0</v>
      </c>
      <c r="O45" s="3" t="b">
        <f>IF('DATA INPUT'!B49="T. ser",0.3446*'DATA INPUT'!D49^1.0619,IF('DATA INPUT'!B49="S. mel",(1270.6*'DATA INPUT'!D49^2.0933)/1000,IF('DATA INPUT'!B49="V. ref",(816.25*'DATA INPUT'!D49^2.1754)/1000,IF('DATA INPUT'!B49=1,(1492.4*'DATA INPUT'!D49^1.7591)/1000,IF('DATA INPUT'!B49=2,0.3446*'DATA INPUT'!D49^1.0619,FALSE)))))</f>
        <v>0</v>
      </c>
      <c r="P45" s="3" t="b">
        <f>IF('DATA INPUT'!B49="T. ser",0.3662*'DATA INPUT'!E49^1.5061,IF('DATA INPUT'!B49="S. mel",(748.47*'DATA INPUT'!E49^2.2691)/1000,IF('DATA INPUT'!B49="V. ref",(953.69*'DATA INPUT'!E49^1.9524)/1000,IF('DATA INPUT'!B49=1,(695.02*'DATA INPUT'!E49^2.3452)/1000,IF('DATA INPUT'!B49=2,0.3662*'DATA INPUT'!E49^1.5061,FALSE)))))</f>
        <v>0</v>
      </c>
      <c r="Q45" s="3" t="b">
        <f>IF('DATA INPUT'!B49="T. ser",0.1225*('DATA INPUT'!F49*'DATA INPUT'!G49)^0.8272,IF('DATA INPUT'!B49="S. mel",(925.08*('DATA INPUT'!F49*'DATA INPUT'!G49)^1.1603)/1000,IF('DATA INPUT'!B49="V. ref",(776.29*('DATA INPUT'!F49*'DATA INPUT'!G49)^1.1226)/1000,IF('DATA INPUT'!B49=1,(884.6*('DATA INPUT'!F49*'DATA INPUT'!G49)^1.129)/1000,IF('DATA INPUT'!B49=2,0.1225*('DATA INPUT'!F49*'DATA INPUT'!G49)^0.8272,FALSE)))))</f>
        <v>0</v>
      </c>
      <c r="R45" s="3" t="b">
        <f>IF('DATA INPUT'!B49="T. ser",5.5287*('DATA INPUT'!H49*'DATA INPUT'!I49)^0.8272,IF('DATA INPUT'!B49="S. mel",(31469*('DATA INPUT'!H49*'DATA INPUT'!I49)^0.8608)/1000,IF('DATA INPUT'!B49="V. ref",(39394*('DATA INPUT'!H49*'DATA INPUT'!I49)^1.005)/1000,IF('DATA INPUT'!B49=1,(31791*('DATA INPUT'!H49*'DATA INPUT'!I49)^0.8467)/1000,IF('DATA INPUT'!B49=2,5.5287*('DATA INPUT'!H49*'DATA INPUT'!I49)^0.8272,FALSE)))))</f>
        <v>0</v>
      </c>
      <c r="S45" s="3" t="b">
        <f>IF('DATA INPUT'!B49="T. ser",0.0005*I45^0.5148,IF('DATA INPUT'!B49="S. mel",0.051*I45^0.7789/1000,IF('DATA INPUT'!B49="V. ref",0.0958*I45^0.7253/1000,IF('DATA INPUT'!B49=1,0.0426*I45^0.786/1000,IF('DATA INPUT'!B49=2,0.0005*I45^0.5148,FALSE)))))</f>
        <v>0</v>
      </c>
      <c r="T45" s="59">
        <f t="shared" si="2"/>
        <v>0</v>
      </c>
    </row>
    <row r="46" spans="1:40" x14ac:dyDescent="0.2">
      <c r="A46" s="16">
        <f>'DATA INPUT'!C50</f>
        <v>0</v>
      </c>
      <c r="B46" s="11" t="b">
        <f>IF('DATA INPUT'!B50="T. ser",0.1656*'DATA INPUT'!D50^1.4655,IF('DATA INPUT'!B50="S. mel",135.53*'DATA INPUT'!D50^3.8701/1000,IF('DATA INPUT'!B50="V. ref",143.01*'DATA INPUT'!D50^3.3147/1000,IF('DATA INPUT'!B50=1,143.35*'DATA INPUT'!D50^3.6046/1000,IF('DATA INPUT'!B50=2,0.1656*'DATA INPUT'!D50^1.4655,FALSE)))))</f>
        <v>0</v>
      </c>
      <c r="C46" s="8" t="b">
        <f>IF('DATA INPUT'!B50="T. ser",0.3356*'DATA INPUT'!E50^0.9984,IF('DATA INPUT'!B50="S. mel",24.906*'DATA INPUT'!E50^4.7681/1000,IF('DATA INPUT'!B50="V. ref",118.45*'DATA INPUT'!E50^3.5959/1000,IF('DATA INPUT'!B50=1,55.075*'DATA INPUT'!E50^4.0991/1000,IF('DATA INPUT'!B50=2,0.3356*'DATA INPUT'!E50^0.9984,FALSE)))))</f>
        <v>0</v>
      </c>
      <c r="D46" s="18" t="b">
        <f>IF('DATA INPUT'!B50="T. ser",0.0615*('DATA INPUT'!F50*'DATA INPUT'!G50)^0.9573,IF('DATA INPUT'!B50="S. mel",46.162*('DATA INPUT'!F50*'DATA INPUT'!G50)^2.3652/1000,IF('DATA INPUT'!B50="V. ref",90.34*('DATA INPUT'!F50*'DATA INPUT'!G50)^1.9756/1000,IF('DATA INPUT'!B50=1,63.022*('DATA INPUT'!F50*'DATA INPUT'!G50)^2.1551/1000,IF('DATA INPUT'!B50=2,0.0615*('DATA INPUT'!F50*'DATA INPUT'!G50)^0.9573,FALSE)))))</f>
        <v>0</v>
      </c>
      <c r="E46" s="8" t="b">
        <f>IF('DATA INPUT'!B50="T. ser",5.0562*('DATA INPUT'!H50*'DATA INPUT'!I50)^0.9574,IF('DATA INPUT'!B50="S. mel",44047*('DATA INPUT'!H50*'DATA INPUT'!I50)^1.5456/1000,IF('DATA INPUT'!B50="V. ref",91930*('DATA INPUT'!H50*'DATA INPUT'!I50)^1.7774/1000,IF('DATA INPUT'!B50=1,62601*('DATA INPUT'!H50*'DATA INPUT'!I50)^1.6463/1000,IF('DATA INPUT'!B50=2,5.0562*('DATA INPUT'!H50*'DATA INPUT'!I50)^0.9574,FALSE)))))</f>
        <v>0</v>
      </c>
      <c r="F46" s="18" t="b">
        <f>IF('DATA INPUT'!B50="T. ser",0.0009*I46^0.4477,IF('DATA INPUT'!B50="S. mel",0.0000004*I46^1.4912/1000,IF('DATA INPUT'!B50="V. ref",0.00000005*I46^1.6284/1000,IF('DATA INPUT'!B50=1,0.0000007*I46^1.4601/1000,IF('DATA INPUT'!B50=2,0.0009*I46^0.4477,FALSE)))))</f>
        <v>0</v>
      </c>
      <c r="G46" s="57">
        <f t="shared" si="0"/>
        <v>0</v>
      </c>
      <c r="H46" s="57"/>
      <c r="I46" s="2" t="b">
        <f>IF('DATA INPUT'!B50="T. ser",3.142*'DATA INPUT'!N50^2*'DATA INPUT'!O50/3+3.142*'DATA INPUT'!P50^2/3*(3*'DATA INPUT'!N50-'DATA INPUT'!P50),IF('DATA INPUT'!B50="S. mel",3.142*'DATA INPUT'!N50^2*'DATA INPUT'!O50/3+3.142*'DATA INPUT'!P50^2/3*(3*'DATA INPUT'!N50-'DATA INPUT'!P50),IF('DATA INPUT'!B50="V. ref",3.142*'DATA INPUT'!N50^2*'DATA INPUT'!O50/3+3.142*'DATA INPUT'!P50^2/3*(3*'DATA INPUT'!N50-'DATA INPUT'!P50),IF('DATA INPUT'!B50=1,3.142*'DATA INPUT'!N50^2*'DATA INPUT'!O50/3+3.142*'DATA INPUT'!P50^2/3*(3*'DATA INPUT'!N50-'DATA INPUT'!P50),IF('DATA INPUT'!B50=2,3.142*'DATA INPUT'!N50^2*'DATA INPUT'!O50/3+3.142*'DATA INPUT'!P50^2/3*(3*'DATA INPUT'!N50-'DATA INPUT'!P50),FALSE)))))</f>
        <v>0</v>
      </c>
      <c r="J46" s="2" t="b">
        <f>IF('DATA INPUT'!B50="T. ser",0.0458*CALCULATIONS!I46^0.6841,IF('DATA INPUT'!B50="S. mel",0.6047*CALCULATIONS!I46^0.6433,IF('DATA INPUT'!B50="V. ref",0.77086*CALCULATIONS!I46^0.4936,IF('DATA INPUT'!B50=1,0.68778*CALCULATIONS!I46^0.56845,IF('DATA INPUT'!B50=2,0.0458*CALCULATIONS!I46^0.6841,FALSE)))))</f>
        <v>0</v>
      </c>
      <c r="K46" s="3">
        <f t="shared" si="1"/>
        <v>0</v>
      </c>
      <c r="L46" s="3" t="b">
        <f>IF('DATA INPUT'!B50="T. ser",('DATA INPUT'!D50+'DATA INPUT'!F50+'DATA INPUT'!H50+'DATA INPUT'!J50)/1.5,IF('DATA INPUT'!B50="V. ref",('DATA INPUT'!D50+'DATA INPUT'!F50+'DATA INPUT'!H50+'DATA INPUT'!J50)/1.5,IF('DATA INPUT'!B50="S. mel",('DATA INPUT'!D50+'DATA INPUT'!F50+'DATA INPUT'!H50+'DATA INPUT'!J50)/1.5,IF('DATA INPUT'!B50=1,('DATA INPUT'!D50+'DATA INPUT'!F50+'DATA INPUT'!H50+'DATA INPUT'!J50)/1.5,IF('DATA INPUT'!B50=2,('DATA INPUT'!D50+'DATA INPUT'!F50+'DATA INPUT'!H50+'DATA INPUT'!J50)/1.5,FALSE)))))</f>
        <v>0</v>
      </c>
      <c r="N46" s="16">
        <f>'DATA INPUT'!C50</f>
        <v>0</v>
      </c>
      <c r="O46" s="3" t="b">
        <f>IF('DATA INPUT'!B50="T. ser",0.3446*'DATA INPUT'!D50^1.0619,IF('DATA INPUT'!B50="S. mel",(1270.6*'DATA INPUT'!D50^2.0933)/1000,IF('DATA INPUT'!B50="V. ref",(816.25*'DATA INPUT'!D50^2.1754)/1000,IF('DATA INPUT'!B50=1,(1492.4*'DATA INPUT'!D50^1.7591)/1000,IF('DATA INPUT'!B50=2,0.3446*'DATA INPUT'!D50^1.0619,FALSE)))))</f>
        <v>0</v>
      </c>
      <c r="P46" s="3" t="b">
        <f>IF('DATA INPUT'!B50="T. ser",0.3662*'DATA INPUT'!E50^1.5061,IF('DATA INPUT'!B50="S. mel",(748.47*'DATA INPUT'!E50^2.2691)/1000,IF('DATA INPUT'!B50="V. ref",(953.69*'DATA INPUT'!E50^1.9524)/1000,IF('DATA INPUT'!B50=1,(695.02*'DATA INPUT'!E50^2.3452)/1000,IF('DATA INPUT'!B50=2,0.3662*'DATA INPUT'!E50^1.5061,FALSE)))))</f>
        <v>0</v>
      </c>
      <c r="Q46" s="3" t="b">
        <f>IF('DATA INPUT'!B50="T. ser",0.1225*('DATA INPUT'!F50*'DATA INPUT'!G50)^0.8272,IF('DATA INPUT'!B50="S. mel",(925.08*('DATA INPUT'!F50*'DATA INPUT'!G50)^1.1603)/1000,IF('DATA INPUT'!B50="V. ref",(776.29*('DATA INPUT'!F50*'DATA INPUT'!G50)^1.1226)/1000,IF('DATA INPUT'!B50=1,(884.6*('DATA INPUT'!F50*'DATA INPUT'!G50)^1.129)/1000,IF('DATA INPUT'!B50=2,0.1225*('DATA INPUT'!F50*'DATA INPUT'!G50)^0.8272,FALSE)))))</f>
        <v>0</v>
      </c>
      <c r="R46" s="3" t="b">
        <f>IF('DATA INPUT'!B50="T. ser",5.5287*('DATA INPUT'!H50*'DATA INPUT'!I50)^0.8272,IF('DATA INPUT'!B50="S. mel",(31469*('DATA INPUT'!H50*'DATA INPUT'!I50)^0.8608)/1000,IF('DATA INPUT'!B50="V. ref",(39394*('DATA INPUT'!H50*'DATA INPUT'!I50)^1.005)/1000,IF('DATA INPUT'!B50=1,(31791*('DATA INPUT'!H50*'DATA INPUT'!I50)^0.8467)/1000,IF('DATA INPUT'!B50=2,5.5287*('DATA INPUT'!H50*'DATA INPUT'!I50)^0.8272,FALSE)))))</f>
        <v>0</v>
      </c>
      <c r="S46" s="3" t="b">
        <f>IF('DATA INPUT'!B50="T. ser",0.0005*I46^0.5148,IF('DATA INPUT'!B50="S. mel",0.051*I46^0.7789/1000,IF('DATA INPUT'!B50="V. ref",0.0958*I46^0.7253/1000,IF('DATA INPUT'!B50=1,0.0426*I46^0.786/1000,IF('DATA INPUT'!B50=2,0.0005*I46^0.5148,FALSE)))))</f>
        <v>0</v>
      </c>
      <c r="T46" s="59">
        <f t="shared" si="2"/>
        <v>0</v>
      </c>
    </row>
    <row r="47" spans="1:40" x14ac:dyDescent="0.2">
      <c r="A47" s="16">
        <f>'DATA INPUT'!C51</f>
        <v>0</v>
      </c>
      <c r="B47" s="11" t="b">
        <f>IF('DATA INPUT'!B51="T. ser",0.1656*'DATA INPUT'!D51^1.4655,IF('DATA INPUT'!B51="S. mel",135.53*'DATA INPUT'!D51^3.8701/1000,IF('DATA INPUT'!B51="V. ref",143.01*'DATA INPUT'!D51^3.3147/1000,IF('DATA INPUT'!B51=1,143.35*'DATA INPUT'!D51^3.6046/1000,IF('DATA INPUT'!B51=2,0.1656*'DATA INPUT'!D51^1.4655,FALSE)))))</f>
        <v>0</v>
      </c>
      <c r="C47" s="8" t="b">
        <f>IF('DATA INPUT'!B51="T. ser",0.3356*'DATA INPUT'!E51^0.9984,IF('DATA INPUT'!B51="S. mel",24.906*'DATA INPUT'!E51^4.7681/1000,IF('DATA INPUT'!B51="V. ref",118.45*'DATA INPUT'!E51^3.5959/1000,IF('DATA INPUT'!B51=1,55.075*'DATA INPUT'!E51^4.0991/1000,IF('DATA INPUT'!B51=2,0.3356*'DATA INPUT'!E51^0.9984,FALSE)))))</f>
        <v>0</v>
      </c>
      <c r="D47" s="18" t="b">
        <f>IF('DATA INPUT'!B51="T. ser",0.0615*('DATA INPUT'!F51*'DATA INPUT'!G51)^0.9573,IF('DATA INPUT'!B51="S. mel",46.162*('DATA INPUT'!F51*'DATA INPUT'!G51)^2.3652/1000,IF('DATA INPUT'!B51="V. ref",90.34*('DATA INPUT'!F51*'DATA INPUT'!G51)^1.9756/1000,IF('DATA INPUT'!B51=1,63.022*('DATA INPUT'!F51*'DATA INPUT'!G51)^2.1551/1000,IF('DATA INPUT'!B51=2,0.0615*('DATA INPUT'!F51*'DATA INPUT'!G51)^0.9573,FALSE)))))</f>
        <v>0</v>
      </c>
      <c r="E47" s="8" t="b">
        <f>IF('DATA INPUT'!B51="T. ser",5.0562*('DATA INPUT'!H51*'DATA INPUT'!I51)^0.9574,IF('DATA INPUT'!B51="S. mel",44047*('DATA INPUT'!H51*'DATA INPUT'!I51)^1.5456/1000,IF('DATA INPUT'!B51="V. ref",91930*('DATA INPUT'!H51*'DATA INPUT'!I51)^1.7774/1000,IF('DATA INPUT'!B51=1,62601*('DATA INPUT'!H51*'DATA INPUT'!I51)^1.6463/1000,IF('DATA INPUT'!B51=2,5.0562*('DATA INPUT'!H51*'DATA INPUT'!I51)^0.9574,FALSE)))))</f>
        <v>0</v>
      </c>
      <c r="F47" s="18" t="b">
        <f>IF('DATA INPUT'!B51="T. ser",0.0009*I47^0.4477,IF('DATA INPUT'!B51="S. mel",0.0000004*I47^1.4912/1000,IF('DATA INPUT'!B51="V. ref",0.00000005*I47^1.6284/1000,IF('DATA INPUT'!B51=1,0.0000007*I47^1.4601/1000,IF('DATA INPUT'!B51=2,0.0009*I47^0.4477,FALSE)))))</f>
        <v>0</v>
      </c>
      <c r="G47" s="57">
        <f t="shared" si="0"/>
        <v>0</v>
      </c>
      <c r="H47" s="57"/>
      <c r="I47" s="2" t="b">
        <f>IF('DATA INPUT'!B51="T. ser",3.142*'DATA INPUT'!N51^2*'DATA INPUT'!O51/3+3.142*'DATA INPUT'!P51^2/3*(3*'DATA INPUT'!N51-'DATA INPUT'!P51),IF('DATA INPUT'!B51="S. mel",3.142*'DATA INPUT'!N51^2*'DATA INPUT'!O51/3+3.142*'DATA INPUT'!P51^2/3*(3*'DATA INPUT'!N51-'DATA INPUT'!P51),IF('DATA INPUT'!B51="V. ref",3.142*'DATA INPUT'!N51^2*'DATA INPUT'!O51/3+3.142*'DATA INPUT'!P51^2/3*(3*'DATA INPUT'!N51-'DATA INPUT'!P51),IF('DATA INPUT'!B51=1,3.142*'DATA INPUT'!N51^2*'DATA INPUT'!O51/3+3.142*'DATA INPUT'!P51^2/3*(3*'DATA INPUT'!N51-'DATA INPUT'!P51),IF('DATA INPUT'!B51=2,3.142*'DATA INPUT'!N51^2*'DATA INPUT'!O51/3+3.142*'DATA INPUT'!P51^2/3*(3*'DATA INPUT'!N51-'DATA INPUT'!P51),FALSE)))))</f>
        <v>0</v>
      </c>
      <c r="J47" s="2" t="b">
        <f>IF('DATA INPUT'!B51="T. ser",0.0458*CALCULATIONS!I47^0.6841,IF('DATA INPUT'!B51="S. mel",0.6047*CALCULATIONS!I47^0.6433,IF('DATA INPUT'!B51="V. ref",0.77086*CALCULATIONS!I47^0.4936,IF('DATA INPUT'!B51=1,0.68778*CALCULATIONS!I47^0.56845,IF('DATA INPUT'!B51=2,0.0458*CALCULATIONS!I47^0.6841,FALSE)))))</f>
        <v>0</v>
      </c>
      <c r="K47" s="3">
        <f t="shared" si="1"/>
        <v>0</v>
      </c>
      <c r="L47" s="3" t="b">
        <f>IF('DATA INPUT'!B51="T. ser",('DATA INPUT'!D51+'DATA INPUT'!F51+'DATA INPUT'!H51+'DATA INPUT'!J51)/1.5,IF('DATA INPUT'!B51="V. ref",('DATA INPUT'!D51+'DATA INPUT'!F51+'DATA INPUT'!H51+'DATA INPUT'!J51)/1.5,IF('DATA INPUT'!B51="S. mel",('DATA INPUT'!D51+'DATA INPUT'!F51+'DATA INPUT'!H51+'DATA INPUT'!J51)/1.5,IF('DATA INPUT'!B51=1,('DATA INPUT'!D51+'DATA INPUT'!F51+'DATA INPUT'!H51+'DATA INPUT'!J51)/1.5,IF('DATA INPUT'!B51=2,('DATA INPUT'!D51+'DATA INPUT'!F51+'DATA INPUT'!H51+'DATA INPUT'!J51)/1.5,FALSE)))))</f>
        <v>0</v>
      </c>
      <c r="N47" s="16">
        <f>'DATA INPUT'!C51</f>
        <v>0</v>
      </c>
      <c r="O47" s="3" t="b">
        <f>IF('DATA INPUT'!B51="T. ser",0.3446*'DATA INPUT'!D51^1.0619,IF('DATA INPUT'!B51="S. mel",(1270.6*'DATA INPUT'!D51^2.0933)/1000,IF('DATA INPUT'!B51="V. ref",(816.25*'DATA INPUT'!D51^2.1754)/1000,IF('DATA INPUT'!B51=1,(1492.4*'DATA INPUT'!D51^1.7591)/1000,IF('DATA INPUT'!B51=2,0.3446*'DATA INPUT'!D51^1.0619,FALSE)))))</f>
        <v>0</v>
      </c>
      <c r="P47" s="3" t="b">
        <f>IF('DATA INPUT'!B51="T. ser",0.3662*'DATA INPUT'!E51^1.5061,IF('DATA INPUT'!B51="S. mel",(748.47*'DATA INPUT'!E51^2.2691)/1000,IF('DATA INPUT'!B51="V. ref",(953.69*'DATA INPUT'!E51^1.9524)/1000,IF('DATA INPUT'!B51=1,(695.02*'DATA INPUT'!E51^2.3452)/1000,IF('DATA INPUT'!B51=2,0.3662*'DATA INPUT'!E51^1.5061,FALSE)))))</f>
        <v>0</v>
      </c>
      <c r="Q47" s="3" t="b">
        <f>IF('DATA INPUT'!B51="T. ser",0.1225*('DATA INPUT'!F51*'DATA INPUT'!G51)^0.8272,IF('DATA INPUT'!B51="S. mel",(925.08*('DATA INPUT'!F51*'DATA INPUT'!G51)^1.1603)/1000,IF('DATA INPUT'!B51="V. ref",(776.29*('DATA INPUT'!F51*'DATA INPUT'!G51)^1.1226)/1000,IF('DATA INPUT'!B51=1,(884.6*('DATA INPUT'!F51*'DATA INPUT'!G51)^1.129)/1000,IF('DATA INPUT'!B51=2,0.1225*('DATA INPUT'!F51*'DATA INPUT'!G51)^0.8272,FALSE)))))</f>
        <v>0</v>
      </c>
      <c r="R47" s="3" t="b">
        <f>IF('DATA INPUT'!B51="T. ser",5.5287*('DATA INPUT'!H51*'DATA INPUT'!I51)^0.8272,IF('DATA INPUT'!B51="S. mel",(31469*('DATA INPUT'!H51*'DATA INPUT'!I51)^0.8608)/1000,IF('DATA INPUT'!B51="V. ref",(39394*('DATA INPUT'!H51*'DATA INPUT'!I51)^1.005)/1000,IF('DATA INPUT'!B51=1,(31791*('DATA INPUT'!H51*'DATA INPUT'!I51)^0.8467)/1000,IF('DATA INPUT'!B51=2,5.5287*('DATA INPUT'!H51*'DATA INPUT'!I51)^0.8272,FALSE)))))</f>
        <v>0</v>
      </c>
      <c r="S47" s="3" t="b">
        <f>IF('DATA INPUT'!B51="T. ser",0.0005*I47^0.5148,IF('DATA INPUT'!B51="S. mel",0.051*I47^0.7789/1000,IF('DATA INPUT'!B51="V. ref",0.0958*I47^0.7253/1000,IF('DATA INPUT'!B51=1,0.0426*I47^0.786/1000,IF('DATA INPUT'!B51=2,0.0005*I47^0.5148,FALSE)))))</f>
        <v>0</v>
      </c>
      <c r="T47" s="59">
        <f t="shared" si="2"/>
        <v>0</v>
      </c>
    </row>
    <row r="48" spans="1:40" x14ac:dyDescent="0.2">
      <c r="A48" s="16">
        <f>'DATA INPUT'!C52</f>
        <v>0</v>
      </c>
      <c r="B48" s="11" t="b">
        <f>IF('DATA INPUT'!B52="T. ser",0.1656*'DATA INPUT'!D52^1.4655,IF('DATA INPUT'!B52="S. mel",135.53*'DATA INPUT'!D52^3.8701/1000,IF('DATA INPUT'!B52="V. ref",143.01*'DATA INPUT'!D52^3.3147/1000,IF('DATA INPUT'!B52=1,143.35*'DATA INPUT'!D52^3.6046/1000,IF('DATA INPUT'!B52=2,0.1656*'DATA INPUT'!D52^1.4655,FALSE)))))</f>
        <v>0</v>
      </c>
      <c r="C48" s="8" t="b">
        <f>IF('DATA INPUT'!B52="T. ser",0.3356*'DATA INPUT'!E52^0.9984,IF('DATA INPUT'!B52="S. mel",24.906*'DATA INPUT'!E52^4.7681/1000,IF('DATA INPUT'!B52="V. ref",118.45*'DATA INPUT'!E52^3.5959/1000,IF('DATA INPUT'!B52=1,55.075*'DATA INPUT'!E52^4.0991/1000,IF('DATA INPUT'!B52=2,0.3356*'DATA INPUT'!E52^0.9984,FALSE)))))</f>
        <v>0</v>
      </c>
      <c r="D48" s="18" t="b">
        <f>IF('DATA INPUT'!B52="T. ser",0.0615*('DATA INPUT'!F52*'DATA INPUT'!G52)^0.9573,IF('DATA INPUT'!B52="S. mel",46.162*('DATA INPUT'!F52*'DATA INPUT'!G52)^2.3652/1000,IF('DATA INPUT'!B52="V. ref",90.34*('DATA INPUT'!F52*'DATA INPUT'!G52)^1.9756/1000,IF('DATA INPUT'!B52=1,63.022*('DATA INPUT'!F52*'DATA INPUT'!G52)^2.1551/1000,IF('DATA INPUT'!B52=2,0.0615*('DATA INPUT'!F52*'DATA INPUT'!G52)^0.9573,FALSE)))))</f>
        <v>0</v>
      </c>
      <c r="E48" s="8" t="b">
        <f>IF('DATA INPUT'!B52="T. ser",5.0562*('DATA INPUT'!H52*'DATA INPUT'!I52)^0.9574,IF('DATA INPUT'!B52="S. mel",44047*('DATA INPUT'!H52*'DATA INPUT'!I52)^1.5456/1000,IF('DATA INPUT'!B52="V. ref",91930*('DATA INPUT'!H52*'DATA INPUT'!I52)^1.7774/1000,IF('DATA INPUT'!B52=1,62601*('DATA INPUT'!H52*'DATA INPUT'!I52)^1.6463/1000,IF('DATA INPUT'!B52=2,5.0562*('DATA INPUT'!H52*'DATA INPUT'!I52)^0.9574,FALSE)))))</f>
        <v>0</v>
      </c>
      <c r="F48" s="18" t="b">
        <f>IF('DATA INPUT'!B52="T. ser",0.0009*I48^0.4477,IF('DATA INPUT'!B52="S. mel",0.0000004*I48^1.4912/1000,IF('DATA INPUT'!B52="V. ref",0.00000005*I48^1.6284/1000,IF('DATA INPUT'!B52=1,0.0000007*I48^1.4601/1000,IF('DATA INPUT'!B52=2,0.0009*I48^0.4477,FALSE)))))</f>
        <v>0</v>
      </c>
      <c r="G48" s="57">
        <f t="shared" si="0"/>
        <v>0</v>
      </c>
      <c r="H48" s="57"/>
      <c r="I48" s="2" t="b">
        <f>IF('DATA INPUT'!B52="T. ser",3.142*'DATA INPUT'!N52^2*'DATA INPUT'!O52/3+3.142*'DATA INPUT'!P52^2/3*(3*'DATA INPUT'!N52-'DATA INPUT'!P52),IF('DATA INPUT'!B52="S. mel",3.142*'DATA INPUT'!N52^2*'DATA INPUT'!O52/3+3.142*'DATA INPUT'!P52^2/3*(3*'DATA INPUT'!N52-'DATA INPUT'!P52),IF('DATA INPUT'!B52="V. ref",3.142*'DATA INPUT'!N52^2*'DATA INPUT'!O52/3+3.142*'DATA INPUT'!P52^2/3*(3*'DATA INPUT'!N52-'DATA INPUT'!P52),IF('DATA INPUT'!B52=1,3.142*'DATA INPUT'!N52^2*'DATA INPUT'!O52/3+3.142*'DATA INPUT'!P52^2/3*(3*'DATA INPUT'!N52-'DATA INPUT'!P52),IF('DATA INPUT'!B52=2,3.142*'DATA INPUT'!N52^2*'DATA INPUT'!O52/3+3.142*'DATA INPUT'!P52^2/3*(3*'DATA INPUT'!N52-'DATA INPUT'!P52),FALSE)))))</f>
        <v>0</v>
      </c>
      <c r="J48" s="2" t="b">
        <f>IF('DATA INPUT'!B52="T. ser",0.0458*CALCULATIONS!I48^0.6841,IF('DATA INPUT'!B52="S. mel",0.6047*CALCULATIONS!I48^0.6433,IF('DATA INPUT'!B52="V. ref",0.77086*CALCULATIONS!I48^0.4936,IF('DATA INPUT'!B52=1,0.68778*CALCULATIONS!I48^0.56845,IF('DATA INPUT'!B52=2,0.0458*CALCULATIONS!I48^0.6841,FALSE)))))</f>
        <v>0</v>
      </c>
      <c r="K48" s="3">
        <f t="shared" si="1"/>
        <v>0</v>
      </c>
      <c r="L48" s="3" t="b">
        <f>IF('DATA INPUT'!B52="T. ser",('DATA INPUT'!D52+'DATA INPUT'!F52+'DATA INPUT'!H52+'DATA INPUT'!J52)/1.5,IF('DATA INPUT'!B52="V. ref",('DATA INPUT'!D52+'DATA INPUT'!F52+'DATA INPUT'!H52+'DATA INPUT'!J52)/1.5,IF('DATA INPUT'!B52="S. mel",('DATA INPUT'!D52+'DATA INPUT'!F52+'DATA INPUT'!H52+'DATA INPUT'!J52)/1.5,IF('DATA INPUT'!B52=1,('DATA INPUT'!D52+'DATA INPUT'!F52+'DATA INPUT'!H52+'DATA INPUT'!J52)/1.5,IF('DATA INPUT'!B52=2,('DATA INPUT'!D52+'DATA INPUT'!F52+'DATA INPUT'!H52+'DATA INPUT'!J52)/1.5,FALSE)))))</f>
        <v>0</v>
      </c>
      <c r="N48" s="16">
        <f>'DATA INPUT'!C52</f>
        <v>0</v>
      </c>
      <c r="O48" s="3" t="b">
        <f>IF('DATA INPUT'!B52="T. ser",0.3446*'DATA INPUT'!D52^1.0619,IF('DATA INPUT'!B52="S. mel",(1270.6*'DATA INPUT'!D52^2.0933)/1000,IF('DATA INPUT'!B52="V. ref",(816.25*'DATA INPUT'!D52^2.1754)/1000,IF('DATA INPUT'!B52=1,(1492.4*'DATA INPUT'!D52^1.7591)/1000,IF('DATA INPUT'!B52=2,0.3446*'DATA INPUT'!D52^1.0619,FALSE)))))</f>
        <v>0</v>
      </c>
      <c r="P48" s="3" t="b">
        <f>IF('DATA INPUT'!B52="T. ser",0.3662*'DATA INPUT'!E52^1.5061,IF('DATA INPUT'!B52="S. mel",(748.47*'DATA INPUT'!E52^2.2691)/1000,IF('DATA INPUT'!B52="V. ref",(953.69*'DATA INPUT'!E52^1.9524)/1000,IF('DATA INPUT'!B52=1,(695.02*'DATA INPUT'!E52^2.3452)/1000,IF('DATA INPUT'!B52=2,0.3662*'DATA INPUT'!E52^1.5061,FALSE)))))</f>
        <v>0</v>
      </c>
      <c r="Q48" s="3" t="b">
        <f>IF('DATA INPUT'!B52="T. ser",0.1225*('DATA INPUT'!F52*'DATA INPUT'!G52)^0.8272,IF('DATA INPUT'!B52="S. mel",(925.08*('DATA INPUT'!F52*'DATA INPUT'!G52)^1.1603)/1000,IF('DATA INPUT'!B52="V. ref",(776.29*('DATA INPUT'!F52*'DATA INPUT'!G52)^1.1226)/1000,IF('DATA INPUT'!B52=1,(884.6*('DATA INPUT'!F52*'DATA INPUT'!G52)^1.129)/1000,IF('DATA INPUT'!B52=2,0.1225*('DATA INPUT'!F52*'DATA INPUT'!G52)^0.8272,FALSE)))))</f>
        <v>0</v>
      </c>
      <c r="R48" s="3" t="b">
        <f>IF('DATA INPUT'!B52="T. ser",5.5287*('DATA INPUT'!H52*'DATA INPUT'!I52)^0.8272,IF('DATA INPUT'!B52="S. mel",(31469*('DATA INPUT'!H52*'DATA INPUT'!I52)^0.8608)/1000,IF('DATA INPUT'!B52="V. ref",(39394*('DATA INPUT'!H52*'DATA INPUT'!I52)^1.005)/1000,IF('DATA INPUT'!B52=1,(31791*('DATA INPUT'!H52*'DATA INPUT'!I52)^0.8467)/1000,IF('DATA INPUT'!B52=2,5.5287*('DATA INPUT'!H52*'DATA INPUT'!I52)^0.8272,FALSE)))))</f>
        <v>0</v>
      </c>
      <c r="S48" s="3" t="b">
        <f>IF('DATA INPUT'!B52="T. ser",0.0005*I48^0.5148,IF('DATA INPUT'!B52="S. mel",0.051*I48^0.7789/1000,IF('DATA INPUT'!B52="V. ref",0.0958*I48^0.7253/1000,IF('DATA INPUT'!B52=1,0.0426*I48^0.786/1000,IF('DATA INPUT'!B52=2,0.0005*I48^0.5148,FALSE)))))</f>
        <v>0</v>
      </c>
      <c r="T48" s="59">
        <f t="shared" si="2"/>
        <v>0</v>
      </c>
    </row>
    <row r="49" spans="1:20" x14ac:dyDescent="0.2">
      <c r="A49" s="16">
        <f>'DATA INPUT'!C53</f>
        <v>0</v>
      </c>
      <c r="B49" s="11" t="b">
        <f>IF('DATA INPUT'!B53="T. ser",0.1656*'DATA INPUT'!D53^1.4655,IF('DATA INPUT'!B53="S. mel",135.53*'DATA INPUT'!D53^3.8701/1000,IF('DATA INPUT'!B53="V. ref",143.01*'DATA INPUT'!D53^3.3147/1000,IF('DATA INPUT'!B53=1,143.35*'DATA INPUT'!D53^3.6046/1000,IF('DATA INPUT'!B53=2,0.1656*'DATA INPUT'!D53^1.4655,FALSE)))))</f>
        <v>0</v>
      </c>
      <c r="C49" s="8" t="b">
        <f>IF('DATA INPUT'!B53="T. ser",0.3356*'DATA INPUT'!E53^0.9984,IF('DATA INPUT'!B53="S. mel",24.906*'DATA INPUT'!E53^4.7681/1000,IF('DATA INPUT'!B53="V. ref",118.45*'DATA INPUT'!E53^3.5959/1000,IF('DATA INPUT'!B53=1,55.075*'DATA INPUT'!E53^4.0991/1000,IF('DATA INPUT'!B53=2,0.3356*'DATA INPUT'!E53^0.9984,FALSE)))))</f>
        <v>0</v>
      </c>
      <c r="D49" s="18" t="b">
        <f>IF('DATA INPUT'!B53="T. ser",0.0615*('DATA INPUT'!F53*'DATA INPUT'!G53)^0.9573,IF('DATA INPUT'!B53="S. mel",46.162*('DATA INPUT'!F53*'DATA INPUT'!G53)^2.3652/1000,IF('DATA INPUT'!B53="V. ref",90.34*('DATA INPUT'!F53*'DATA INPUT'!G53)^1.9756/1000,IF('DATA INPUT'!B53=1,63.022*('DATA INPUT'!F53*'DATA INPUT'!G53)^2.1551/1000,IF('DATA INPUT'!B53=2,0.0615*('DATA INPUT'!F53*'DATA INPUT'!G53)^0.9573,FALSE)))))</f>
        <v>0</v>
      </c>
      <c r="E49" s="8" t="b">
        <f>IF('DATA INPUT'!B53="T. ser",5.0562*('DATA INPUT'!H53*'DATA INPUT'!I53)^0.9574,IF('DATA INPUT'!B53="S. mel",44047*('DATA INPUT'!H53*'DATA INPUT'!I53)^1.5456/1000,IF('DATA INPUT'!B53="V. ref",91930*('DATA INPUT'!H53*'DATA INPUT'!I53)^1.7774/1000,IF('DATA INPUT'!B53=1,62601*('DATA INPUT'!H53*'DATA INPUT'!I53)^1.6463/1000,IF('DATA INPUT'!B53=2,5.0562*('DATA INPUT'!H53*'DATA INPUT'!I53)^0.9574,FALSE)))))</f>
        <v>0</v>
      </c>
      <c r="F49" s="18" t="b">
        <f>IF('DATA INPUT'!B53="T. ser",0.0009*I49^0.4477,IF('DATA INPUT'!B53="S. mel",0.0000004*I49^1.4912/1000,IF('DATA INPUT'!B53="V. ref",0.00000005*I49^1.6284/1000,IF('DATA INPUT'!B53=1,0.0000007*I49^1.4601/1000,IF('DATA INPUT'!B53=2,0.0009*I49^0.4477,FALSE)))))</f>
        <v>0</v>
      </c>
      <c r="G49" s="57">
        <f t="shared" si="0"/>
        <v>0</v>
      </c>
      <c r="H49" s="57"/>
      <c r="I49" s="2" t="b">
        <f>IF('DATA INPUT'!B53="T. ser",3.142*'DATA INPUT'!N53^2*'DATA INPUT'!O53/3+3.142*'DATA INPUT'!P53^2/3*(3*'DATA INPUT'!N53-'DATA INPUT'!P53),IF('DATA INPUT'!B53="S. mel",3.142*'DATA INPUT'!N53^2*'DATA INPUT'!O53/3+3.142*'DATA INPUT'!P53^2/3*(3*'DATA INPUT'!N53-'DATA INPUT'!P53),IF('DATA INPUT'!B53="V. ref",3.142*'DATA INPUT'!N53^2*'DATA INPUT'!O53/3+3.142*'DATA INPUT'!P53^2/3*(3*'DATA INPUT'!N53-'DATA INPUT'!P53),IF('DATA INPUT'!B53=1,3.142*'DATA INPUT'!N53^2*'DATA INPUT'!O53/3+3.142*'DATA INPUT'!P53^2/3*(3*'DATA INPUT'!N53-'DATA INPUT'!P53),IF('DATA INPUT'!B53=2,3.142*'DATA INPUT'!N53^2*'DATA INPUT'!O53/3+3.142*'DATA INPUT'!P53^2/3*(3*'DATA INPUT'!N53-'DATA INPUT'!P53),FALSE)))))</f>
        <v>0</v>
      </c>
      <c r="J49" s="2" t="b">
        <f>IF('DATA INPUT'!B53="T. ser",0.0458*CALCULATIONS!I49^0.6841,IF('DATA INPUT'!B53="S. mel",0.6047*CALCULATIONS!I49^0.6433,IF('DATA INPUT'!B53="V. ref",0.77086*CALCULATIONS!I49^0.4936,IF('DATA INPUT'!B53=1,0.68778*CALCULATIONS!I49^0.56845,IF('DATA INPUT'!B53=2,0.0458*CALCULATIONS!I49^0.6841,FALSE)))))</f>
        <v>0</v>
      </c>
      <c r="K49" s="3">
        <f t="shared" si="1"/>
        <v>0</v>
      </c>
      <c r="L49" s="3" t="b">
        <f>IF('DATA INPUT'!B53="T. ser",('DATA INPUT'!D53+'DATA INPUT'!F53+'DATA INPUT'!H53+'DATA INPUT'!J53)/1.5,IF('DATA INPUT'!B53="V. ref",('DATA INPUT'!D53+'DATA INPUT'!F53+'DATA INPUT'!H53+'DATA INPUT'!J53)/1.5,IF('DATA INPUT'!B53="S. mel",('DATA INPUT'!D53+'DATA INPUT'!F53+'DATA INPUT'!H53+'DATA INPUT'!J53)/1.5,IF('DATA INPUT'!B53=1,('DATA INPUT'!D53+'DATA INPUT'!F53+'DATA INPUT'!H53+'DATA INPUT'!J53)/1.5,IF('DATA INPUT'!B53=2,('DATA INPUT'!D53+'DATA INPUT'!F53+'DATA INPUT'!H53+'DATA INPUT'!J53)/1.5,FALSE)))))</f>
        <v>0</v>
      </c>
      <c r="N49" s="16">
        <f>'DATA INPUT'!C53</f>
        <v>0</v>
      </c>
      <c r="O49" s="3" t="b">
        <f>IF('DATA INPUT'!B53="T. ser",0.3446*'DATA INPUT'!D53^1.0619,IF('DATA INPUT'!B53="S. mel",(1270.6*'DATA INPUT'!D53^2.0933)/1000,IF('DATA INPUT'!B53="V. ref",(816.25*'DATA INPUT'!D53^2.1754)/1000,IF('DATA INPUT'!B53=1,(1492.4*'DATA INPUT'!D53^1.7591)/1000,IF('DATA INPUT'!B53=2,0.3446*'DATA INPUT'!D53^1.0619,FALSE)))))</f>
        <v>0</v>
      </c>
      <c r="P49" s="3" t="b">
        <f>IF('DATA INPUT'!B53="T. ser",0.3662*'DATA INPUT'!E53^1.5061,IF('DATA INPUT'!B53="S. mel",(748.47*'DATA INPUT'!E53^2.2691)/1000,IF('DATA INPUT'!B53="V. ref",(953.69*'DATA INPUT'!E53^1.9524)/1000,IF('DATA INPUT'!B53=1,(695.02*'DATA INPUT'!E53^2.3452)/1000,IF('DATA INPUT'!B53=2,0.3662*'DATA INPUT'!E53^1.5061,FALSE)))))</f>
        <v>0</v>
      </c>
      <c r="Q49" s="3" t="b">
        <f>IF('DATA INPUT'!B53="T. ser",0.1225*('DATA INPUT'!F53*'DATA INPUT'!G53)^0.8272,IF('DATA INPUT'!B53="S. mel",(925.08*('DATA INPUT'!F53*'DATA INPUT'!G53)^1.1603)/1000,IF('DATA INPUT'!B53="V. ref",(776.29*('DATA INPUT'!F53*'DATA INPUT'!G53)^1.1226)/1000,IF('DATA INPUT'!B53=1,(884.6*('DATA INPUT'!F53*'DATA INPUT'!G53)^1.129)/1000,IF('DATA INPUT'!B53=2,0.1225*('DATA INPUT'!F53*'DATA INPUT'!G53)^0.8272,FALSE)))))</f>
        <v>0</v>
      </c>
      <c r="R49" s="3" t="b">
        <f>IF('DATA INPUT'!B53="T. ser",5.5287*('DATA INPUT'!H53*'DATA INPUT'!I53)^0.8272,IF('DATA INPUT'!B53="S. mel",(31469*('DATA INPUT'!H53*'DATA INPUT'!I53)^0.8608)/1000,IF('DATA INPUT'!B53="V. ref",(39394*('DATA INPUT'!H53*'DATA INPUT'!I53)^1.005)/1000,IF('DATA INPUT'!B53=1,(31791*('DATA INPUT'!H53*'DATA INPUT'!I53)^0.8467)/1000,IF('DATA INPUT'!B53=2,5.5287*('DATA INPUT'!H53*'DATA INPUT'!I53)^0.8272,FALSE)))))</f>
        <v>0</v>
      </c>
      <c r="S49" s="3" t="b">
        <f>IF('DATA INPUT'!B53="T. ser",0.0005*I49^0.5148,IF('DATA INPUT'!B53="S. mel",0.051*I49^0.7789/1000,IF('DATA INPUT'!B53="V. ref",0.0958*I49^0.7253/1000,IF('DATA INPUT'!B53=1,0.0426*I49^0.786/1000,IF('DATA INPUT'!B53=2,0.0005*I49^0.5148,FALSE)))))</f>
        <v>0</v>
      </c>
      <c r="T49" s="59">
        <f t="shared" si="2"/>
        <v>0</v>
      </c>
    </row>
    <row r="50" spans="1:20" x14ac:dyDescent="0.2">
      <c r="A50" s="16">
        <f>'DATA INPUT'!C54</f>
        <v>0</v>
      </c>
      <c r="B50" s="11" t="b">
        <f>IF('DATA INPUT'!B54="T. ser",0.1656*'DATA INPUT'!D54^1.4655,IF('DATA INPUT'!B54="S. mel",135.53*'DATA INPUT'!D54^3.8701/1000,IF('DATA INPUT'!B54="V. ref",143.01*'DATA INPUT'!D54^3.3147/1000,IF('DATA INPUT'!B54=1,143.35*'DATA INPUT'!D54^3.6046/1000,IF('DATA INPUT'!B54=2,0.1656*'DATA INPUT'!D54^1.4655,FALSE)))))</f>
        <v>0</v>
      </c>
      <c r="C50" s="8" t="b">
        <f>IF('DATA INPUT'!B54="T. ser",0.3356*'DATA INPUT'!E54^0.9984,IF('DATA INPUT'!B54="S. mel",24.906*'DATA INPUT'!E54^4.7681/1000,IF('DATA INPUT'!B54="V. ref",118.45*'DATA INPUT'!E54^3.5959/1000,IF('DATA INPUT'!B54=1,55.075*'DATA INPUT'!E54^4.0991/1000,IF('DATA INPUT'!B54=2,0.3356*'DATA INPUT'!E54^0.9984,FALSE)))))</f>
        <v>0</v>
      </c>
      <c r="D50" s="18" t="b">
        <f>IF('DATA INPUT'!B54="T. ser",0.0615*('DATA INPUT'!F54*'DATA INPUT'!G54)^0.9573,IF('DATA INPUT'!B54="S. mel",46.162*('DATA INPUT'!F54*'DATA INPUT'!G54)^2.3652/1000,IF('DATA INPUT'!B54="V. ref",90.34*('DATA INPUT'!F54*'DATA INPUT'!G54)^1.9756/1000,IF('DATA INPUT'!B54=1,63.022*('DATA INPUT'!F54*'DATA INPUT'!G54)^2.1551/1000,IF('DATA INPUT'!B54=2,0.0615*('DATA INPUT'!F54*'DATA INPUT'!G54)^0.9573,FALSE)))))</f>
        <v>0</v>
      </c>
      <c r="E50" s="8" t="b">
        <f>IF('DATA INPUT'!B54="T. ser",5.0562*('DATA INPUT'!H54*'DATA INPUT'!I54)^0.9574,IF('DATA INPUT'!B54="S. mel",44047*('DATA INPUT'!H54*'DATA INPUT'!I54)^1.5456/1000,IF('DATA INPUT'!B54="V. ref",91930*('DATA INPUT'!H54*'DATA INPUT'!I54)^1.7774/1000,IF('DATA INPUT'!B54=1,62601*('DATA INPUT'!H54*'DATA INPUT'!I54)^1.6463/1000,IF('DATA INPUT'!B54=2,5.0562*('DATA INPUT'!H54*'DATA INPUT'!I54)^0.9574,FALSE)))))</f>
        <v>0</v>
      </c>
      <c r="F50" s="18" t="b">
        <f>IF('DATA INPUT'!B54="T. ser",0.0009*I50^0.4477,IF('DATA INPUT'!B54="S. mel",0.0000004*I50^1.4912/1000,IF('DATA INPUT'!B54="V. ref",0.00000005*I50^1.6284/1000,IF('DATA INPUT'!B54=1,0.0000007*I50^1.4601/1000,IF('DATA INPUT'!B54=2,0.0009*I50^0.4477,FALSE)))))</f>
        <v>0</v>
      </c>
      <c r="G50" s="57">
        <f t="shared" si="0"/>
        <v>0</v>
      </c>
      <c r="H50" s="57"/>
      <c r="I50" s="2" t="b">
        <f>IF('DATA INPUT'!B54="T. ser",3.142*'DATA INPUT'!N54^2*'DATA INPUT'!O54/3+3.142*'DATA INPUT'!P54^2/3*(3*'DATA INPUT'!N54-'DATA INPUT'!P54),IF('DATA INPUT'!B54="S. mel",3.142*'DATA INPUT'!N54^2*'DATA INPUT'!O54/3+3.142*'DATA INPUT'!P54^2/3*(3*'DATA INPUT'!N54-'DATA INPUT'!P54),IF('DATA INPUT'!B54="V. ref",3.142*'DATA INPUT'!N54^2*'DATA INPUT'!O54/3+3.142*'DATA INPUT'!P54^2/3*(3*'DATA INPUT'!N54-'DATA INPUT'!P54),IF('DATA INPUT'!B54=1,3.142*'DATA INPUT'!N54^2*'DATA INPUT'!O54/3+3.142*'DATA INPUT'!P54^2/3*(3*'DATA INPUT'!N54-'DATA INPUT'!P54),IF('DATA INPUT'!B54=2,3.142*'DATA INPUT'!N54^2*'DATA INPUT'!O54/3+3.142*'DATA INPUT'!P54^2/3*(3*'DATA INPUT'!N54-'DATA INPUT'!P54),FALSE)))))</f>
        <v>0</v>
      </c>
      <c r="J50" s="2" t="b">
        <f>IF('DATA INPUT'!B54="T. ser",0.0458*CALCULATIONS!I50^0.6841,IF('DATA INPUT'!B54="S. mel",0.6047*CALCULATIONS!I50^0.6433,IF('DATA INPUT'!B54="V. ref",0.77086*CALCULATIONS!I50^0.4936,IF('DATA INPUT'!B54=1,0.68778*CALCULATIONS!I50^0.56845,IF('DATA INPUT'!B54=2,0.0458*CALCULATIONS!I50^0.6841,FALSE)))))</f>
        <v>0</v>
      </c>
      <c r="K50" s="3">
        <f t="shared" si="1"/>
        <v>0</v>
      </c>
      <c r="L50" s="3" t="b">
        <f>IF('DATA INPUT'!B54="T. ser",('DATA INPUT'!D54+'DATA INPUT'!F54+'DATA INPUT'!H54+'DATA INPUT'!J54)/1.5,IF('DATA INPUT'!B54="V. ref",('DATA INPUT'!D54+'DATA INPUT'!F54+'DATA INPUT'!H54+'DATA INPUT'!J54)/1.5,IF('DATA INPUT'!B54="S. mel",('DATA INPUT'!D54+'DATA INPUT'!F54+'DATA INPUT'!H54+'DATA INPUT'!J54)/1.5,IF('DATA INPUT'!B54=1,('DATA INPUT'!D54+'DATA INPUT'!F54+'DATA INPUT'!H54+'DATA INPUT'!J54)/1.5,IF('DATA INPUT'!B54=2,('DATA INPUT'!D54+'DATA INPUT'!F54+'DATA INPUT'!H54+'DATA INPUT'!J54)/1.5,FALSE)))))</f>
        <v>0</v>
      </c>
      <c r="N50" s="16">
        <f>'DATA INPUT'!C54</f>
        <v>0</v>
      </c>
      <c r="O50" s="3" t="b">
        <f>IF('DATA INPUT'!B54="T. ser",0.3446*'DATA INPUT'!D54^1.0619,IF('DATA INPUT'!B54="S. mel",(1270.6*'DATA INPUT'!D54^2.0933)/1000,IF('DATA INPUT'!B54="V. ref",(816.25*'DATA INPUT'!D54^2.1754)/1000,IF('DATA INPUT'!B54=1,(1492.4*'DATA INPUT'!D54^1.7591)/1000,IF('DATA INPUT'!B54=2,0.3446*'DATA INPUT'!D54^1.0619,FALSE)))))</f>
        <v>0</v>
      </c>
      <c r="P50" s="3" t="b">
        <f>IF('DATA INPUT'!B54="T. ser",0.3662*'DATA INPUT'!E54^1.5061,IF('DATA INPUT'!B54="S. mel",(748.47*'DATA INPUT'!E54^2.2691)/1000,IF('DATA INPUT'!B54="V. ref",(953.69*'DATA INPUT'!E54^1.9524)/1000,IF('DATA INPUT'!B54=1,(695.02*'DATA INPUT'!E54^2.3452)/1000,IF('DATA INPUT'!B54=2,0.3662*'DATA INPUT'!E54^1.5061,FALSE)))))</f>
        <v>0</v>
      </c>
      <c r="Q50" s="3" t="b">
        <f>IF('DATA INPUT'!B54="T. ser",0.1225*('DATA INPUT'!F54*'DATA INPUT'!G54)^0.8272,IF('DATA INPUT'!B54="S. mel",(925.08*('DATA INPUT'!F54*'DATA INPUT'!G54)^1.1603)/1000,IF('DATA INPUT'!B54="V. ref",(776.29*('DATA INPUT'!F54*'DATA INPUT'!G54)^1.1226)/1000,IF('DATA INPUT'!B54=1,(884.6*('DATA INPUT'!F54*'DATA INPUT'!G54)^1.129)/1000,IF('DATA INPUT'!B54=2,0.1225*('DATA INPUT'!F54*'DATA INPUT'!G54)^0.8272,FALSE)))))</f>
        <v>0</v>
      </c>
      <c r="R50" s="3" t="b">
        <f>IF('DATA INPUT'!B54="T. ser",5.5287*('DATA INPUT'!H54*'DATA INPUT'!I54)^0.8272,IF('DATA INPUT'!B54="S. mel",(31469*('DATA INPUT'!H54*'DATA INPUT'!I54)^0.8608)/1000,IF('DATA INPUT'!B54="V. ref",(39394*('DATA INPUT'!H54*'DATA INPUT'!I54)^1.005)/1000,IF('DATA INPUT'!B54=1,(31791*('DATA INPUT'!H54*'DATA INPUT'!I54)^0.8467)/1000,IF('DATA INPUT'!B54=2,5.5287*('DATA INPUT'!H54*'DATA INPUT'!I54)^0.8272,FALSE)))))</f>
        <v>0</v>
      </c>
      <c r="S50" s="3" t="b">
        <f>IF('DATA INPUT'!B54="T. ser",0.0005*I50^0.5148,IF('DATA INPUT'!B54="S. mel",0.051*I50^0.7789/1000,IF('DATA INPUT'!B54="V. ref",0.0958*I50^0.7253/1000,IF('DATA INPUT'!B54=1,0.0426*I50^0.786/1000,IF('DATA INPUT'!B54=2,0.0005*I50^0.5148,FALSE)))))</f>
        <v>0</v>
      </c>
      <c r="T50" s="59">
        <f t="shared" si="2"/>
        <v>0</v>
      </c>
    </row>
    <row r="51" spans="1:20" x14ac:dyDescent="0.2">
      <c r="A51" s="16">
        <f>'DATA INPUT'!C55</f>
        <v>0</v>
      </c>
      <c r="B51" s="11" t="b">
        <f>IF('DATA INPUT'!B55="T. ser",0.1656*'DATA INPUT'!D55^1.4655,IF('DATA INPUT'!B55="S. mel",135.53*'DATA INPUT'!D55^3.8701/1000,IF('DATA INPUT'!B55="V. ref",143.01*'DATA INPUT'!D55^3.3147/1000,IF('DATA INPUT'!B55=1,143.35*'DATA INPUT'!D55^3.6046/1000,IF('DATA INPUT'!B55=2,0.1656*'DATA INPUT'!D55^1.4655,FALSE)))))</f>
        <v>0</v>
      </c>
      <c r="C51" s="8" t="b">
        <f>IF('DATA INPUT'!B55="T. ser",0.3356*'DATA INPUT'!E55^0.9984,IF('DATA INPUT'!B55="S. mel",24.906*'DATA INPUT'!E55^4.7681/1000,IF('DATA INPUT'!B55="V. ref",118.45*'DATA INPUT'!E55^3.5959/1000,IF('DATA INPUT'!B55=1,55.075*'DATA INPUT'!E55^4.0991/1000,IF('DATA INPUT'!B55=2,0.3356*'DATA INPUT'!E55^0.9984,FALSE)))))</f>
        <v>0</v>
      </c>
      <c r="D51" s="18" t="b">
        <f>IF('DATA INPUT'!B55="T. ser",0.0615*('DATA INPUT'!F55*'DATA INPUT'!G55)^0.9573,IF('DATA INPUT'!B55="S. mel",46.162*('DATA INPUT'!F55*'DATA INPUT'!G55)^2.3652/1000,IF('DATA INPUT'!B55="V. ref",90.34*('DATA INPUT'!F55*'DATA INPUT'!G55)^1.9756/1000,IF('DATA INPUT'!B55=1,63.022*('DATA INPUT'!F55*'DATA INPUT'!G55)^2.1551/1000,IF('DATA INPUT'!B55=2,0.0615*('DATA INPUT'!F55*'DATA INPUT'!G55)^0.9573,FALSE)))))</f>
        <v>0</v>
      </c>
      <c r="E51" s="8" t="b">
        <f>IF('DATA INPUT'!B55="T. ser",5.0562*('DATA INPUT'!H55*'DATA INPUT'!I55)^0.9574,IF('DATA INPUT'!B55="S. mel",44047*('DATA INPUT'!H55*'DATA INPUT'!I55)^1.5456/1000,IF('DATA INPUT'!B55="V. ref",91930*('DATA INPUT'!H55*'DATA INPUT'!I55)^1.7774/1000,IF('DATA INPUT'!B55=1,62601*('DATA INPUT'!H55*'DATA INPUT'!I55)^1.6463/1000,IF('DATA INPUT'!B55=2,5.0562*('DATA INPUT'!H55*'DATA INPUT'!I55)^0.9574,FALSE)))))</f>
        <v>0</v>
      </c>
      <c r="F51" s="18" t="b">
        <f>IF('DATA INPUT'!B55="T. ser",0.0009*I51^0.4477,IF('DATA INPUT'!B55="S. mel",0.0000004*I51^1.4912/1000,IF('DATA INPUT'!B55="V. ref",0.00000005*I51^1.6284/1000,IF('DATA INPUT'!B55=1,0.0000007*I51^1.4601/1000,IF('DATA INPUT'!B55=2,0.0009*I51^0.4477,FALSE)))))</f>
        <v>0</v>
      </c>
      <c r="G51" s="57">
        <f t="shared" si="0"/>
        <v>0</v>
      </c>
      <c r="H51" s="57"/>
      <c r="I51" s="2" t="b">
        <f>IF('DATA INPUT'!B55="T. ser",3.142*'DATA INPUT'!N55^2*'DATA INPUT'!O55/3+3.142*'DATA INPUT'!P55^2/3*(3*'DATA INPUT'!N55-'DATA INPUT'!P55),IF('DATA INPUT'!B55="S. mel",3.142*'DATA INPUT'!N55^2*'DATA INPUT'!O55/3+3.142*'DATA INPUT'!P55^2/3*(3*'DATA INPUT'!N55-'DATA INPUT'!P55),IF('DATA INPUT'!B55="V. ref",3.142*'DATA INPUT'!N55^2*'DATA INPUT'!O55/3+3.142*'DATA INPUT'!P55^2/3*(3*'DATA INPUT'!N55-'DATA INPUT'!P55),IF('DATA INPUT'!B55=1,3.142*'DATA INPUT'!N55^2*'DATA INPUT'!O55/3+3.142*'DATA INPUT'!P55^2/3*(3*'DATA INPUT'!N55-'DATA INPUT'!P55),IF('DATA INPUT'!B55=2,3.142*'DATA INPUT'!N55^2*'DATA INPUT'!O55/3+3.142*'DATA INPUT'!P55^2/3*(3*'DATA INPUT'!N55-'DATA INPUT'!P55),FALSE)))))</f>
        <v>0</v>
      </c>
      <c r="J51" s="2" t="b">
        <f>IF('DATA INPUT'!B55="T. ser",0.0458*CALCULATIONS!I51^0.6841,IF('DATA INPUT'!B55="S. mel",0.6047*CALCULATIONS!I51^0.6433,IF('DATA INPUT'!B55="V. ref",0.77086*CALCULATIONS!I51^0.4936,IF('DATA INPUT'!B55=1,0.68778*CALCULATIONS!I51^0.56845,IF('DATA INPUT'!B55=2,0.0458*CALCULATIONS!I51^0.6841,FALSE)))))</f>
        <v>0</v>
      </c>
      <c r="K51" s="3">
        <f t="shared" si="1"/>
        <v>0</v>
      </c>
      <c r="L51" s="3" t="b">
        <f>IF('DATA INPUT'!B55="T. ser",('DATA INPUT'!D55+'DATA INPUT'!F55+'DATA INPUT'!H55+'DATA INPUT'!J55)/1.5,IF('DATA INPUT'!B55="V. ref",('DATA INPUT'!D55+'DATA INPUT'!F55+'DATA INPUT'!H55+'DATA INPUT'!J55)/1.5,IF('DATA INPUT'!B55="S. mel",('DATA INPUT'!D55+'DATA INPUT'!F55+'DATA INPUT'!H55+'DATA INPUT'!J55)/1.5,IF('DATA INPUT'!B55=1,('DATA INPUT'!D55+'DATA INPUT'!F55+'DATA INPUT'!H55+'DATA INPUT'!J55)/1.5,IF('DATA INPUT'!B55=2,('DATA INPUT'!D55+'DATA INPUT'!F55+'DATA INPUT'!H55+'DATA INPUT'!J55)/1.5,FALSE)))))</f>
        <v>0</v>
      </c>
      <c r="N51" s="16">
        <f>'DATA INPUT'!C55</f>
        <v>0</v>
      </c>
      <c r="O51" s="3" t="b">
        <f>IF('DATA INPUT'!B55="T. ser",0.3446*'DATA INPUT'!D55^1.0619,IF('DATA INPUT'!B55="S. mel",(1270.6*'DATA INPUT'!D55^2.0933)/1000,IF('DATA INPUT'!B55="V. ref",(816.25*'DATA INPUT'!D55^2.1754)/1000,IF('DATA INPUT'!B55=1,(1492.4*'DATA INPUT'!D55^1.7591)/1000,IF('DATA INPUT'!B55=2,0.3446*'DATA INPUT'!D55^1.0619,FALSE)))))</f>
        <v>0</v>
      </c>
      <c r="P51" s="3" t="b">
        <f>IF('DATA INPUT'!B55="T. ser",0.3662*'DATA INPUT'!E55^1.5061,IF('DATA INPUT'!B55="S. mel",(748.47*'DATA INPUT'!E55^2.2691)/1000,IF('DATA INPUT'!B55="V. ref",(953.69*'DATA INPUT'!E55^1.9524)/1000,IF('DATA INPUT'!B55=1,(695.02*'DATA INPUT'!E55^2.3452)/1000,IF('DATA INPUT'!B55=2,0.3662*'DATA INPUT'!E55^1.5061,FALSE)))))</f>
        <v>0</v>
      </c>
      <c r="Q51" s="3" t="b">
        <f>IF('DATA INPUT'!B55="T. ser",0.1225*('DATA INPUT'!F55*'DATA INPUT'!G55)^0.8272,IF('DATA INPUT'!B55="S. mel",(925.08*('DATA INPUT'!F55*'DATA INPUT'!G55)^1.1603)/1000,IF('DATA INPUT'!B55="V. ref",(776.29*('DATA INPUT'!F55*'DATA INPUT'!G55)^1.1226)/1000,IF('DATA INPUT'!B55=1,(884.6*('DATA INPUT'!F55*'DATA INPUT'!G55)^1.129)/1000,IF('DATA INPUT'!B55=2,0.1225*('DATA INPUT'!F55*'DATA INPUT'!G55)^0.8272,FALSE)))))</f>
        <v>0</v>
      </c>
      <c r="R51" s="3" t="b">
        <f>IF('DATA INPUT'!B55="T. ser",5.5287*('DATA INPUT'!H55*'DATA INPUT'!I55)^0.8272,IF('DATA INPUT'!B55="S. mel",(31469*('DATA INPUT'!H55*'DATA INPUT'!I55)^0.8608)/1000,IF('DATA INPUT'!B55="V. ref",(39394*('DATA INPUT'!H55*'DATA INPUT'!I55)^1.005)/1000,IF('DATA INPUT'!B55=1,(31791*('DATA INPUT'!H55*'DATA INPUT'!I55)^0.8467)/1000,IF('DATA INPUT'!B55=2,5.5287*('DATA INPUT'!H55*'DATA INPUT'!I55)^0.8272,FALSE)))))</f>
        <v>0</v>
      </c>
      <c r="S51" s="3" t="b">
        <f>IF('DATA INPUT'!B55="T. ser",0.0005*I51^0.5148,IF('DATA INPUT'!B55="S. mel",0.051*I51^0.7789/1000,IF('DATA INPUT'!B55="V. ref",0.0958*I51^0.7253/1000,IF('DATA INPUT'!B55=1,0.0426*I51^0.786/1000,IF('DATA INPUT'!B55=2,0.0005*I51^0.5148,FALSE)))))</f>
        <v>0</v>
      </c>
      <c r="T51" s="59">
        <f t="shared" si="2"/>
        <v>0</v>
      </c>
    </row>
    <row r="52" spans="1:20" x14ac:dyDescent="0.2">
      <c r="A52" s="218">
        <f>'DATA INPUT'!C56</f>
        <v>0</v>
      </c>
      <c r="B52" s="11" t="b">
        <f>IF('DATA INPUT'!B56="T. ser",0.1656*'DATA INPUT'!D56^1.4655,IF('DATA INPUT'!B56="S. mel",135.53*'DATA INPUT'!D56^3.8701/1000,IF('DATA INPUT'!B56="V. ref",143.01*'DATA INPUT'!D56^3.3147/1000,IF('DATA INPUT'!B56=1,143.35*'DATA INPUT'!D56^3.6046/1000,IF('DATA INPUT'!B56=2,0.1656*'DATA INPUT'!D56^1.4655,FALSE)))))</f>
        <v>0</v>
      </c>
      <c r="C52" s="8" t="b">
        <f>IF('DATA INPUT'!B56="T. ser",0.3356*'DATA INPUT'!E56^0.9984,IF('DATA INPUT'!B56="S. mel",24.906*'DATA INPUT'!E56^4.7681/1000,IF('DATA INPUT'!B56="V. ref",118.45*'DATA INPUT'!E56^3.5959/1000,IF('DATA INPUT'!B56=1,55.075*'DATA INPUT'!E56^4.0991/1000,IF('DATA INPUT'!B56=2,0.3356*'DATA INPUT'!E56^0.9984,FALSE)))))</f>
        <v>0</v>
      </c>
      <c r="D52" s="18" t="b">
        <f>IF('DATA INPUT'!B56="T. ser",0.0615*('DATA INPUT'!F56*'DATA INPUT'!G56)^0.9573,IF('DATA INPUT'!B56="S. mel",46.162*('DATA INPUT'!F56*'DATA INPUT'!G56)^2.3652/1000,IF('DATA INPUT'!B56="V. ref",90.34*('DATA INPUT'!F56*'DATA INPUT'!G56)^1.9756/1000,IF('DATA INPUT'!B56=1,63.022*('DATA INPUT'!F56*'DATA INPUT'!G56)^2.1551/1000,IF('DATA INPUT'!B56=2,0.0615*('DATA INPUT'!F56*'DATA INPUT'!G56)^0.9573,FALSE)))))</f>
        <v>0</v>
      </c>
      <c r="E52" s="8" t="b">
        <f>IF('DATA INPUT'!B56="T. ser",5.0562*('DATA INPUT'!H56*'DATA INPUT'!I56)^0.9574,IF('DATA INPUT'!B56="S. mel",44047*('DATA INPUT'!H56*'DATA INPUT'!I56)^1.5456/1000,IF('DATA INPUT'!B56="V. ref",91930*('DATA INPUT'!H56*'DATA INPUT'!I56)^1.7774/1000,IF('DATA INPUT'!B56=1,62601*('DATA INPUT'!H56*'DATA INPUT'!I56)^1.6463/1000,IF('DATA INPUT'!B56=2,5.0562*('DATA INPUT'!H56*'DATA INPUT'!I56)^0.9574,FALSE)))))</f>
        <v>0</v>
      </c>
      <c r="F52" s="18" t="b">
        <f>IF('DATA INPUT'!B56="T. ser",0.0009*I52^0.4477,IF('DATA INPUT'!B56="S. mel",0.0000004*I52^1.4912/1000,IF('DATA INPUT'!B56="V. ref",0.00000005*I52^1.6284/1000,IF('DATA INPUT'!B56=1,0.0000007*I52^1.4601/1000,IF('DATA INPUT'!B56=2,0.0009*I52^0.4477,FALSE)))))</f>
        <v>0</v>
      </c>
      <c r="G52" s="57">
        <f t="shared" si="0"/>
        <v>0</v>
      </c>
      <c r="H52" s="57"/>
      <c r="I52" s="2" t="b">
        <f>IF('DATA INPUT'!B56="T. ser",3.142*'DATA INPUT'!N56^2*'DATA INPUT'!O56/3+3.142*'DATA INPUT'!P56^2/3*(3*'DATA INPUT'!N56-'DATA INPUT'!P56),IF('DATA INPUT'!B56="S. mel",3.142*'DATA INPUT'!N56^2*'DATA INPUT'!O56/3+3.142*'DATA INPUT'!P56^2/3*(3*'DATA INPUT'!N56-'DATA INPUT'!P56),IF('DATA INPUT'!B56="V. ref",3.142*'DATA INPUT'!N56^2*'DATA INPUT'!O56/3+3.142*'DATA INPUT'!P56^2/3*(3*'DATA INPUT'!N56-'DATA INPUT'!P56),IF('DATA INPUT'!B56=1,3.142*'DATA INPUT'!N56^2*'DATA INPUT'!O56/3+3.142*'DATA INPUT'!P56^2/3*(3*'DATA INPUT'!N56-'DATA INPUT'!P56),IF('DATA INPUT'!B56=2,3.142*'DATA INPUT'!N56^2*'DATA INPUT'!O56/3+3.142*'DATA INPUT'!P56^2/3*(3*'DATA INPUT'!N56-'DATA INPUT'!P56),FALSE)))))</f>
        <v>0</v>
      </c>
      <c r="J52" s="2" t="b">
        <f>IF('DATA INPUT'!B56="T. ser",0.0458*CALCULATIONS!I52^0.6841,IF('DATA INPUT'!B56="S. mel",0.6047*CALCULATIONS!I52^0.6433,IF('DATA INPUT'!B56="V. ref",0.77086*CALCULATIONS!I52^0.4936,IF('DATA INPUT'!B56=1,0.68778*CALCULATIONS!I52^0.56845,IF('DATA INPUT'!B56=2,0.0458*CALCULATIONS!I52^0.6841,FALSE)))))</f>
        <v>0</v>
      </c>
      <c r="K52" s="3">
        <f t="shared" si="1"/>
        <v>0</v>
      </c>
      <c r="L52" s="3" t="b">
        <f>IF('DATA INPUT'!B56="T. ser",('DATA INPUT'!D56+'DATA INPUT'!F56+'DATA INPUT'!H56+'DATA INPUT'!J56)/1.5,IF('DATA INPUT'!B56="V. ref",('DATA INPUT'!D56+'DATA INPUT'!F56+'DATA INPUT'!H56+'DATA INPUT'!J56)/1.5,IF('DATA INPUT'!B56="S. mel",('DATA INPUT'!D56+'DATA INPUT'!F56+'DATA INPUT'!H56+'DATA INPUT'!J56)/1.5,IF('DATA INPUT'!B56=1,('DATA INPUT'!D56+'DATA INPUT'!F56+'DATA INPUT'!H56+'DATA INPUT'!J56)/1.5,IF('DATA INPUT'!B56=2,('DATA INPUT'!D56+'DATA INPUT'!F56+'DATA INPUT'!H56+'DATA INPUT'!J56)/1.5,FALSE)))))</f>
        <v>0</v>
      </c>
      <c r="N52" s="16">
        <f>'DATA INPUT'!C56</f>
        <v>0</v>
      </c>
      <c r="O52" s="3" t="b">
        <f>IF('DATA INPUT'!B56="T. ser",0.3446*'DATA INPUT'!D56^1.0619,IF('DATA INPUT'!B56="S. mel",(1270.6*'DATA INPUT'!D56^2.0933)/1000,IF('DATA INPUT'!B56="V. ref",(816.25*'DATA INPUT'!D56^2.1754)/1000,IF('DATA INPUT'!B56=1,(1492.4*'DATA INPUT'!D56^1.7591)/1000,IF('DATA INPUT'!B56=2,0.3446*'DATA INPUT'!D56^1.0619,FALSE)))))</f>
        <v>0</v>
      </c>
      <c r="P52" s="3" t="b">
        <f>IF('DATA INPUT'!B56="T. ser",0.3662*'DATA INPUT'!E56^1.5061,IF('DATA INPUT'!B56="S. mel",(748.47*'DATA INPUT'!E56^2.2691)/1000,IF('DATA INPUT'!B56="V. ref",(953.69*'DATA INPUT'!E56^1.9524)/1000,IF('DATA INPUT'!B56=1,(695.02*'DATA INPUT'!E56^2.3452)/1000,IF('DATA INPUT'!B56=2,0.3662*'DATA INPUT'!E56^1.5061,FALSE)))))</f>
        <v>0</v>
      </c>
      <c r="Q52" s="3" t="b">
        <f>IF('DATA INPUT'!B56="T. ser",0.1225*('DATA INPUT'!F56*'DATA INPUT'!G56)^0.8272,IF('DATA INPUT'!B56="S. mel",(925.08*('DATA INPUT'!F56*'DATA INPUT'!G56)^1.1603)/1000,IF('DATA INPUT'!B56="V. ref",(776.29*('DATA INPUT'!F56*'DATA INPUT'!G56)^1.1226)/1000,IF('DATA INPUT'!B56=1,(884.6*('DATA INPUT'!F56*'DATA INPUT'!G56)^1.129)/1000,IF('DATA INPUT'!B56=2,0.1225*('DATA INPUT'!F56*'DATA INPUT'!G56)^0.8272,FALSE)))))</f>
        <v>0</v>
      </c>
      <c r="R52" s="3" t="b">
        <f>IF('DATA INPUT'!B56="T. ser",5.5287*('DATA INPUT'!H56*'DATA INPUT'!I56)^0.8272,IF('DATA INPUT'!B56="S. mel",(31469*('DATA INPUT'!H56*'DATA INPUT'!I56)^0.8608)/1000,IF('DATA INPUT'!B56="V. ref",(39394*('DATA INPUT'!H56*'DATA INPUT'!I56)^1.005)/1000,IF('DATA INPUT'!B56=1,(31791*('DATA INPUT'!H56*'DATA INPUT'!I56)^0.8467)/1000,IF('DATA INPUT'!B56=2,5.5287*('DATA INPUT'!H56*'DATA INPUT'!I56)^0.8272,FALSE)))))</f>
        <v>0</v>
      </c>
      <c r="S52" s="3" t="b">
        <f>IF('DATA INPUT'!B56="T. ser",0.0005*I52^0.5148,IF('DATA INPUT'!B56="S. mel",0.051*I52^0.7789/1000,IF('DATA INPUT'!B56="V. ref",0.0958*I52^0.7253/1000,IF('DATA INPUT'!B56=1,0.0426*I52^0.786/1000,IF('DATA INPUT'!B56=2,0.0005*I52^0.5148,FALSE)))))</f>
        <v>0</v>
      </c>
      <c r="T52" s="59">
        <f t="shared" si="2"/>
        <v>0</v>
      </c>
    </row>
    <row r="53" spans="1:20" x14ac:dyDescent="0.2">
      <c r="A53" s="218">
        <f>'DATA INPUT'!C57</f>
        <v>0</v>
      </c>
      <c r="B53" s="11" t="b">
        <f>IF('DATA INPUT'!B57="T. ser",0.1656*'DATA INPUT'!D57^1.4655,IF('DATA INPUT'!B57="S. mel",135.53*'DATA INPUT'!D57^3.8701/1000,IF('DATA INPUT'!B57="V. ref",143.01*'DATA INPUT'!D57^3.3147/1000,IF('DATA INPUT'!B57=1,143.35*'DATA INPUT'!D57^3.6046/1000,IF('DATA INPUT'!B57=2,0.1656*'DATA INPUT'!D57^1.4655,FALSE)))))</f>
        <v>0</v>
      </c>
      <c r="C53" s="8" t="b">
        <f>IF('DATA INPUT'!B57="T. ser",0.3356*'DATA INPUT'!E57^0.9984,IF('DATA INPUT'!B57="S. mel",24.906*'DATA INPUT'!E57^4.7681/1000,IF('DATA INPUT'!B57="V. ref",118.45*'DATA INPUT'!E57^3.5959/1000,IF('DATA INPUT'!B57=1,55.075*'DATA INPUT'!E57^4.0991/1000,IF('DATA INPUT'!B57=2,0.3356*'DATA INPUT'!E57^0.9984,FALSE)))))</f>
        <v>0</v>
      </c>
      <c r="D53" s="18" t="b">
        <f>IF('DATA INPUT'!B57="T. ser",0.0615*('DATA INPUT'!F57*'DATA INPUT'!G57)^0.9573,IF('DATA INPUT'!B57="S. mel",46.162*('DATA INPUT'!F57*'DATA INPUT'!G57)^2.3652/1000,IF('DATA INPUT'!B57="V. ref",90.34*('DATA INPUT'!F57*'DATA INPUT'!G57)^1.9756/1000,IF('DATA INPUT'!B57=1,63.022*('DATA INPUT'!F57*'DATA INPUT'!G57)^2.1551/1000,IF('DATA INPUT'!B57=2,0.0615*('DATA INPUT'!F57*'DATA INPUT'!G57)^0.9573,FALSE)))))</f>
        <v>0</v>
      </c>
      <c r="E53" s="8" t="b">
        <f>IF('DATA INPUT'!B57="T. ser",5.0562*('DATA INPUT'!H57*'DATA INPUT'!I57)^0.9574,IF('DATA INPUT'!B57="S. mel",44047*('DATA INPUT'!H57*'DATA INPUT'!I57)^1.5456/1000,IF('DATA INPUT'!B57="V. ref",91930*('DATA INPUT'!H57*'DATA INPUT'!I57)^1.7774/1000,IF('DATA INPUT'!B57=1,62601*('DATA INPUT'!H57*'DATA INPUT'!I57)^1.6463/1000,IF('DATA INPUT'!B57=2,5.0562*('DATA INPUT'!H57*'DATA INPUT'!I57)^0.9574,FALSE)))))</f>
        <v>0</v>
      </c>
      <c r="F53" s="18" t="b">
        <f>IF('DATA INPUT'!B57="T. ser",0.0009*I53^0.4477,IF('DATA INPUT'!B57="S. mel",0.0000004*I53^1.4912/1000,IF('DATA INPUT'!B57="V. ref",0.00000005*I53^1.6284/1000,IF('DATA INPUT'!B57=1,0.0000007*I53^1.4601/1000,IF('DATA INPUT'!B57=2,0.0009*I53^0.4477,FALSE)))))</f>
        <v>0</v>
      </c>
      <c r="G53" s="57">
        <f t="shared" ref="G53:G63" si="7">SUM(B53:F53)</f>
        <v>0</v>
      </c>
      <c r="H53" s="57"/>
      <c r="I53" s="2" t="b">
        <f>IF('DATA INPUT'!B57="T. ser",3.142*'DATA INPUT'!N57^2*'DATA INPUT'!O57/3+3.142*'DATA INPUT'!P57^2/3*(3*'DATA INPUT'!N57-'DATA INPUT'!P57),IF('DATA INPUT'!B57="S. mel",3.142*'DATA INPUT'!N57^2*'DATA INPUT'!O57/3+3.142*'DATA INPUT'!P57^2/3*(3*'DATA INPUT'!N57-'DATA INPUT'!P57),IF('DATA INPUT'!B57="V. ref",3.142*'DATA INPUT'!N57^2*'DATA INPUT'!O57/3+3.142*'DATA INPUT'!P57^2/3*(3*'DATA INPUT'!N57-'DATA INPUT'!P57),IF('DATA INPUT'!B57=1,3.142*'DATA INPUT'!N57^2*'DATA INPUT'!O57/3+3.142*'DATA INPUT'!P57^2/3*(3*'DATA INPUT'!N57-'DATA INPUT'!P57),IF('DATA INPUT'!B57=2,3.142*'DATA INPUT'!N57^2*'DATA INPUT'!O57/3+3.142*'DATA INPUT'!P57^2/3*(3*'DATA INPUT'!N57-'DATA INPUT'!P57),FALSE)))))</f>
        <v>0</v>
      </c>
      <c r="J53" s="2" t="b">
        <f>IF('DATA INPUT'!B57="T. ser",0.0458*CALCULATIONS!I53^0.6841,IF('DATA INPUT'!B57="S. mel",0.6047*CALCULATIONS!I53^0.6433,IF('DATA INPUT'!B57="V. ref",0.77086*CALCULATIONS!I53^0.4936,IF('DATA INPUT'!B57=1,0.68778*CALCULATIONS!I53^0.56845,IF('DATA INPUT'!B57=2,0.0458*CALCULATIONS!I53^0.6841,FALSE)))))</f>
        <v>0</v>
      </c>
      <c r="K53" s="3">
        <f t="shared" ref="K53:K116" si="8">J53/500</f>
        <v>0</v>
      </c>
      <c r="L53" s="3" t="b">
        <f>IF('DATA INPUT'!B57="T. ser",('DATA INPUT'!D57+'DATA INPUT'!F57+'DATA INPUT'!H57+'DATA INPUT'!J57)/1.5,IF('DATA INPUT'!B57="V. ref",('DATA INPUT'!D57+'DATA INPUT'!F57+'DATA INPUT'!H57+'DATA INPUT'!J57)/1.5,IF('DATA INPUT'!B57="S. mel",('DATA INPUT'!D57+'DATA INPUT'!F57+'DATA INPUT'!H57+'DATA INPUT'!J57)/1.5,IF('DATA INPUT'!B57=1,('DATA INPUT'!D57+'DATA INPUT'!F57+'DATA INPUT'!H57+'DATA INPUT'!J57)/1.5,IF('DATA INPUT'!B57=2,('DATA INPUT'!D57+'DATA INPUT'!F57+'DATA INPUT'!H57+'DATA INPUT'!J57)/1.5,FALSE)))))</f>
        <v>0</v>
      </c>
      <c r="N53" s="16">
        <f>'DATA INPUT'!C57</f>
        <v>0</v>
      </c>
      <c r="O53" s="3" t="b">
        <f>IF('DATA INPUT'!B57="T. ser",0.3446*'DATA INPUT'!D57^1.0619,IF('DATA INPUT'!B57="S. mel",(1270.6*'DATA INPUT'!D57^2.0933)/1000,IF('DATA INPUT'!B57="V. ref",(816.25*'DATA INPUT'!D57^2.1754)/1000,IF('DATA INPUT'!B57=1,(1492.4*'DATA INPUT'!D57^1.7591)/1000,IF('DATA INPUT'!B57=2,0.3446*'DATA INPUT'!D57^1.0619,FALSE)))))</f>
        <v>0</v>
      </c>
      <c r="P53" s="3" t="b">
        <f>IF('DATA INPUT'!B57="T. ser",0.3662*'DATA INPUT'!E57^1.5061,IF('DATA INPUT'!B57="S. mel",(748.47*'DATA INPUT'!E57^2.2691)/1000,IF('DATA INPUT'!B57="V. ref",(953.69*'DATA INPUT'!E57^1.9524)/1000,IF('DATA INPUT'!B57=1,(695.02*'DATA INPUT'!E57^2.3452)/1000,IF('DATA INPUT'!B57=2,0.3662*'DATA INPUT'!E57^1.5061,FALSE)))))</f>
        <v>0</v>
      </c>
      <c r="Q53" s="3" t="b">
        <f>IF('DATA INPUT'!B57="T. ser",0.1225*('DATA INPUT'!F57*'DATA INPUT'!G57)^0.8272,IF('DATA INPUT'!B57="S. mel",(925.08*('DATA INPUT'!F57*'DATA INPUT'!G57)^1.1603)/1000,IF('DATA INPUT'!B57="V. ref",(776.29*('DATA INPUT'!F57*'DATA INPUT'!G57)^1.1226)/1000,IF('DATA INPUT'!B57=1,(884.6*('DATA INPUT'!F57*'DATA INPUT'!G57)^1.129)/1000,IF('DATA INPUT'!B57=2,0.1225*('DATA INPUT'!F57*'DATA INPUT'!G57)^0.8272,FALSE)))))</f>
        <v>0</v>
      </c>
      <c r="R53" s="3" t="b">
        <f>IF('DATA INPUT'!B57="T. ser",5.5287*('DATA INPUT'!H57*'DATA INPUT'!I57)^0.8272,IF('DATA INPUT'!B57="S. mel",(31469*('DATA INPUT'!H57*'DATA INPUT'!I57)^0.8608)/1000,IF('DATA INPUT'!B57="V. ref",(39394*('DATA INPUT'!H57*'DATA INPUT'!I57)^1.005)/1000,IF('DATA INPUT'!B57=1,(31791*('DATA INPUT'!H57*'DATA INPUT'!I57)^0.8467)/1000,IF('DATA INPUT'!B57=2,5.5287*('DATA INPUT'!H57*'DATA INPUT'!I57)^0.8272,FALSE)))))</f>
        <v>0</v>
      </c>
      <c r="S53" s="3" t="b">
        <f>IF('DATA INPUT'!B57="T. ser",0.0005*I53^0.5148,IF('DATA INPUT'!B57="S. mel",0.051*I53^0.7789/1000,IF('DATA INPUT'!B57="V. ref",0.0958*I53^0.7253/1000,IF('DATA INPUT'!B57=1,0.0426*I53^0.786/1000,IF('DATA INPUT'!B57=2,0.0005*I53^0.5148,FALSE)))))</f>
        <v>0</v>
      </c>
      <c r="T53" s="59">
        <f t="shared" ref="T53:T116" si="9">SUM(O53:S53)</f>
        <v>0</v>
      </c>
    </row>
    <row r="54" spans="1:20" x14ac:dyDescent="0.2">
      <c r="A54" s="218">
        <f>'DATA INPUT'!C58</f>
        <v>0</v>
      </c>
      <c r="B54" s="11" t="b">
        <f>IF('DATA INPUT'!B58="T. ser",0.1656*'DATA INPUT'!D58^1.4655,IF('DATA INPUT'!B58="S. mel",135.53*'DATA INPUT'!D58^3.8701/1000,IF('DATA INPUT'!B58="V. ref",143.01*'DATA INPUT'!D58^3.3147/1000,IF('DATA INPUT'!B58=1,143.35*'DATA INPUT'!D58^3.6046/1000,IF('DATA INPUT'!B58=2,0.1656*'DATA INPUT'!D58^1.4655,FALSE)))))</f>
        <v>0</v>
      </c>
      <c r="C54" s="8" t="b">
        <f>IF('DATA INPUT'!B58="T. ser",0.3356*'DATA INPUT'!E58^0.9984,IF('DATA INPUT'!B58="S. mel",24.906*'DATA INPUT'!E58^4.7681/1000,IF('DATA INPUT'!B58="V. ref",118.45*'DATA INPUT'!E58^3.5959/1000,IF('DATA INPUT'!B58=1,55.075*'DATA INPUT'!E58^4.0991/1000,IF('DATA INPUT'!B58=2,0.3356*'DATA INPUT'!E58^0.9984,FALSE)))))</f>
        <v>0</v>
      </c>
      <c r="D54" s="18" t="b">
        <f>IF('DATA INPUT'!B58="T. ser",0.0615*('DATA INPUT'!F58*'DATA INPUT'!G58)^0.9573,IF('DATA INPUT'!B58="S. mel",46.162*('DATA INPUT'!F58*'DATA INPUT'!G58)^2.3652/1000,IF('DATA INPUT'!B58="V. ref",90.34*('DATA INPUT'!F58*'DATA INPUT'!G58)^1.9756/1000,IF('DATA INPUT'!B58=1,63.022*('DATA INPUT'!F58*'DATA INPUT'!G58)^2.1551/1000,IF('DATA INPUT'!B58=2,0.0615*('DATA INPUT'!F58*'DATA INPUT'!G58)^0.9573,FALSE)))))</f>
        <v>0</v>
      </c>
      <c r="E54" s="8" t="b">
        <f>IF('DATA INPUT'!B58="T. ser",5.0562*('DATA INPUT'!H58*'DATA INPUT'!I58)^0.9574,IF('DATA INPUT'!B58="S. mel",44047*('DATA INPUT'!H58*'DATA INPUT'!I58)^1.5456/1000,IF('DATA INPUT'!B58="V. ref",91930*('DATA INPUT'!H58*'DATA INPUT'!I58)^1.7774/1000,IF('DATA INPUT'!B58=1,62601*('DATA INPUT'!H58*'DATA INPUT'!I58)^1.6463/1000,IF('DATA INPUT'!B58=2,5.0562*('DATA INPUT'!H58*'DATA INPUT'!I58)^0.9574,FALSE)))))</f>
        <v>0</v>
      </c>
      <c r="F54" s="18" t="b">
        <f>IF('DATA INPUT'!B58="T. ser",0.0009*I54^0.4477,IF('DATA INPUT'!B58="S. mel",0.0000004*I54^1.4912/1000,IF('DATA INPUT'!B58="V. ref",0.00000005*I54^1.6284/1000,IF('DATA INPUT'!B58=1,0.0000007*I54^1.4601/1000,IF('DATA INPUT'!B58=2,0.0009*I54^0.4477,FALSE)))))</f>
        <v>0</v>
      </c>
      <c r="G54" s="57">
        <f t="shared" si="7"/>
        <v>0</v>
      </c>
      <c r="H54" s="57"/>
      <c r="I54" s="2" t="b">
        <f>IF('DATA INPUT'!B58="T. ser",3.142*'DATA INPUT'!N58^2*'DATA INPUT'!O58/3+3.142*'DATA INPUT'!P58^2/3*(3*'DATA INPUT'!N58-'DATA INPUT'!P58),IF('DATA INPUT'!B58="S. mel",3.142*'DATA INPUT'!N58^2*'DATA INPUT'!O58/3+3.142*'DATA INPUT'!P58^2/3*(3*'DATA INPUT'!N58-'DATA INPUT'!P58),IF('DATA INPUT'!B58="V. ref",3.142*'DATA INPUT'!N58^2*'DATA INPUT'!O58/3+3.142*'DATA INPUT'!P58^2/3*(3*'DATA INPUT'!N58-'DATA INPUT'!P58),IF('DATA INPUT'!B58=1,3.142*'DATA INPUT'!N58^2*'DATA INPUT'!O58/3+3.142*'DATA INPUT'!P58^2/3*(3*'DATA INPUT'!N58-'DATA INPUT'!P58),IF('DATA INPUT'!B58=2,3.142*'DATA INPUT'!N58^2*'DATA INPUT'!O58/3+3.142*'DATA INPUT'!P58^2/3*(3*'DATA INPUT'!N58-'DATA INPUT'!P58),FALSE)))))</f>
        <v>0</v>
      </c>
      <c r="J54" s="2" t="b">
        <f>IF('DATA INPUT'!B58="T. ser",0.0458*CALCULATIONS!I54^0.6841,IF('DATA INPUT'!B58="S. mel",0.6047*CALCULATIONS!I54^0.6433,IF('DATA INPUT'!B58="V. ref",0.77086*CALCULATIONS!I54^0.4936,IF('DATA INPUT'!B58=1,0.68778*CALCULATIONS!I54^0.56845,IF('DATA INPUT'!B58=2,0.0458*CALCULATIONS!I54^0.6841,FALSE)))))</f>
        <v>0</v>
      </c>
      <c r="K54" s="3">
        <f t="shared" si="8"/>
        <v>0</v>
      </c>
      <c r="L54" s="3" t="b">
        <f>IF('DATA INPUT'!B58="T. ser",('DATA INPUT'!D58+'DATA INPUT'!F58+'DATA INPUT'!H58+'DATA INPUT'!J58)/1.5,IF('DATA INPUT'!B58="V. ref",('DATA INPUT'!D58+'DATA INPUT'!F58+'DATA INPUT'!H58+'DATA INPUT'!J58)/1.5,IF('DATA INPUT'!B58="S. mel",('DATA INPUT'!D58+'DATA INPUT'!F58+'DATA INPUT'!H58+'DATA INPUT'!J58)/1.5,IF('DATA INPUT'!B58=1,('DATA INPUT'!D58+'DATA INPUT'!F58+'DATA INPUT'!H58+'DATA INPUT'!J58)/1.5,IF('DATA INPUT'!B58=2,('DATA INPUT'!D58+'DATA INPUT'!F58+'DATA INPUT'!H58+'DATA INPUT'!J58)/1.5,FALSE)))))</f>
        <v>0</v>
      </c>
      <c r="N54" s="16">
        <f>'DATA INPUT'!C58</f>
        <v>0</v>
      </c>
      <c r="O54" s="3" t="b">
        <f>IF('DATA INPUT'!B58="T. ser",0.3446*'DATA INPUT'!D58^1.0619,IF('DATA INPUT'!B58="S. mel",(1270.6*'DATA INPUT'!D58^2.0933)/1000,IF('DATA INPUT'!B58="V. ref",(816.25*'DATA INPUT'!D58^2.1754)/1000,IF('DATA INPUT'!B58=1,(1492.4*'DATA INPUT'!D58^1.7591)/1000,IF('DATA INPUT'!B58=2,0.3446*'DATA INPUT'!D58^1.0619,FALSE)))))</f>
        <v>0</v>
      </c>
      <c r="P54" s="3" t="b">
        <f>IF('DATA INPUT'!B58="T. ser",0.3662*'DATA INPUT'!E58^1.5061,IF('DATA INPUT'!B58="S. mel",(748.47*'DATA INPUT'!E58^2.2691)/1000,IF('DATA INPUT'!B58="V. ref",(953.69*'DATA INPUT'!E58^1.9524)/1000,IF('DATA INPUT'!B58=1,(695.02*'DATA INPUT'!E58^2.3452)/1000,IF('DATA INPUT'!B58=2,0.3662*'DATA INPUT'!E58^1.5061,FALSE)))))</f>
        <v>0</v>
      </c>
      <c r="Q54" s="3" t="b">
        <f>IF('DATA INPUT'!B58="T. ser",0.1225*('DATA INPUT'!F58*'DATA INPUT'!G58)^0.8272,IF('DATA INPUT'!B58="S. mel",(925.08*('DATA INPUT'!F58*'DATA INPUT'!G58)^1.1603)/1000,IF('DATA INPUT'!B58="V. ref",(776.29*('DATA INPUT'!F58*'DATA INPUT'!G58)^1.1226)/1000,IF('DATA INPUT'!B58=1,(884.6*('DATA INPUT'!F58*'DATA INPUT'!G58)^1.129)/1000,IF('DATA INPUT'!B58=2,0.1225*('DATA INPUT'!F58*'DATA INPUT'!G58)^0.8272,FALSE)))))</f>
        <v>0</v>
      </c>
      <c r="R54" s="3" t="b">
        <f>IF('DATA INPUT'!B58="T. ser",5.5287*('DATA INPUT'!H58*'DATA INPUT'!I58)^0.8272,IF('DATA INPUT'!B58="S. mel",(31469*('DATA INPUT'!H58*'DATA INPUT'!I58)^0.8608)/1000,IF('DATA INPUT'!B58="V. ref",(39394*('DATA INPUT'!H58*'DATA INPUT'!I58)^1.005)/1000,IF('DATA INPUT'!B58=1,(31791*('DATA INPUT'!H58*'DATA INPUT'!I58)^0.8467)/1000,IF('DATA INPUT'!B58=2,5.5287*('DATA INPUT'!H58*'DATA INPUT'!I58)^0.8272,FALSE)))))</f>
        <v>0</v>
      </c>
      <c r="S54" s="3" t="b">
        <f>IF('DATA INPUT'!B58="T. ser",0.0005*I54^0.5148,IF('DATA INPUT'!B58="S. mel",0.051*I54^0.7789/1000,IF('DATA INPUT'!B58="V. ref",0.0958*I54^0.7253/1000,IF('DATA INPUT'!B58=1,0.0426*I54^0.786/1000,IF('DATA INPUT'!B58=2,0.0005*I54^0.5148,FALSE)))))</f>
        <v>0</v>
      </c>
      <c r="T54" s="59">
        <f t="shared" si="9"/>
        <v>0</v>
      </c>
    </row>
    <row r="55" spans="1:20" x14ac:dyDescent="0.2">
      <c r="A55" s="218">
        <f>'DATA INPUT'!C59</f>
        <v>0</v>
      </c>
      <c r="B55" s="11" t="b">
        <f>IF('DATA INPUT'!B59="T. ser",0.1656*'DATA INPUT'!D59^1.4655,IF('DATA INPUT'!B59="S. mel",135.53*'DATA INPUT'!D59^3.8701/1000,IF('DATA INPUT'!B59="V. ref",143.01*'DATA INPUT'!D59^3.3147/1000,IF('DATA INPUT'!B59=1,143.35*'DATA INPUT'!D59^3.6046/1000,IF('DATA INPUT'!B59=2,0.1656*'DATA INPUT'!D59^1.4655,FALSE)))))</f>
        <v>0</v>
      </c>
      <c r="C55" s="8" t="b">
        <f>IF('DATA INPUT'!B59="T. ser",0.3356*'DATA INPUT'!E59^0.9984,IF('DATA INPUT'!B59="S. mel",24.906*'DATA INPUT'!E59^4.7681/1000,IF('DATA INPUT'!B59="V. ref",118.45*'DATA INPUT'!E59^3.5959/1000,IF('DATA INPUT'!B59=1,55.075*'DATA INPUT'!E59^4.0991/1000,IF('DATA INPUT'!B59=2,0.3356*'DATA INPUT'!E59^0.9984,FALSE)))))</f>
        <v>0</v>
      </c>
      <c r="D55" s="18" t="b">
        <f>IF('DATA INPUT'!B59="T. ser",0.0615*('DATA INPUT'!F59*'DATA INPUT'!G59)^0.9573,IF('DATA INPUT'!B59="S. mel",46.162*('DATA INPUT'!F59*'DATA INPUT'!G59)^2.3652/1000,IF('DATA INPUT'!B59="V. ref",90.34*('DATA INPUT'!F59*'DATA INPUT'!G59)^1.9756/1000,IF('DATA INPUT'!B59=1,63.022*('DATA INPUT'!F59*'DATA INPUT'!G59)^2.1551/1000,IF('DATA INPUT'!B59=2,0.0615*('DATA INPUT'!F59*'DATA INPUT'!G59)^0.9573,FALSE)))))</f>
        <v>0</v>
      </c>
      <c r="E55" s="8" t="b">
        <f>IF('DATA INPUT'!B59="T. ser",5.0562*('DATA INPUT'!H59*'DATA INPUT'!I59)^0.9574,IF('DATA INPUT'!B59="S. mel",44047*('DATA INPUT'!H59*'DATA INPUT'!I59)^1.5456/1000,IF('DATA INPUT'!B59="V. ref",91930*('DATA INPUT'!H59*'DATA INPUT'!I59)^1.7774/1000,IF('DATA INPUT'!B59=1,62601*('DATA INPUT'!H59*'DATA INPUT'!I59)^1.6463/1000,IF('DATA INPUT'!B59=2,5.0562*('DATA INPUT'!H59*'DATA INPUT'!I59)^0.9574,FALSE)))))</f>
        <v>0</v>
      </c>
      <c r="F55" s="18" t="b">
        <f>IF('DATA INPUT'!B59="T. ser",0.0009*I55^0.4477,IF('DATA INPUT'!B59="S. mel",0.0000004*I55^1.4912/1000,IF('DATA INPUT'!B59="V. ref",0.00000005*I55^1.6284/1000,IF('DATA INPUT'!B59=1,0.0000007*I55^1.4601/1000,IF('DATA INPUT'!B59=2,0.0009*I55^0.4477,FALSE)))))</f>
        <v>0</v>
      </c>
      <c r="G55" s="57">
        <f t="shared" si="7"/>
        <v>0</v>
      </c>
      <c r="H55" s="57"/>
      <c r="I55" s="2" t="b">
        <f>IF('DATA INPUT'!B59="T. ser",3.142*'DATA INPUT'!N59^2*'DATA INPUT'!O59/3+3.142*'DATA INPUT'!P59^2/3*(3*'DATA INPUT'!N59-'DATA INPUT'!P59),IF('DATA INPUT'!B59="S. mel",3.142*'DATA INPUT'!N59^2*'DATA INPUT'!O59/3+3.142*'DATA INPUT'!P59^2/3*(3*'DATA INPUT'!N59-'DATA INPUT'!P59),IF('DATA INPUT'!B59="V. ref",3.142*'DATA INPUT'!N59^2*'DATA INPUT'!O59/3+3.142*'DATA INPUT'!P59^2/3*(3*'DATA INPUT'!N59-'DATA INPUT'!P59),IF('DATA INPUT'!B59=1,3.142*'DATA INPUT'!N59^2*'DATA INPUT'!O59/3+3.142*'DATA INPUT'!P59^2/3*(3*'DATA INPUT'!N59-'DATA INPUT'!P59),IF('DATA INPUT'!B59=2,3.142*'DATA INPUT'!N59^2*'DATA INPUT'!O59/3+3.142*'DATA INPUT'!P59^2/3*(3*'DATA INPUT'!N59-'DATA INPUT'!P59),FALSE)))))</f>
        <v>0</v>
      </c>
      <c r="J55" s="2" t="b">
        <f>IF('DATA INPUT'!B59="T. ser",0.0458*CALCULATIONS!I55^0.6841,IF('DATA INPUT'!B59="S. mel",0.6047*CALCULATIONS!I55^0.6433,IF('DATA INPUT'!B59="V. ref",0.77086*CALCULATIONS!I55^0.4936,IF('DATA INPUT'!B59=1,0.68778*CALCULATIONS!I55^0.56845,IF('DATA INPUT'!B59=2,0.0458*CALCULATIONS!I55^0.6841,FALSE)))))</f>
        <v>0</v>
      </c>
      <c r="K55" s="3">
        <f t="shared" si="8"/>
        <v>0</v>
      </c>
      <c r="L55" s="3" t="b">
        <f>IF('DATA INPUT'!B59="T. ser",('DATA INPUT'!D59+'DATA INPUT'!F59+'DATA INPUT'!H59+'DATA INPUT'!J59)/1.5,IF('DATA INPUT'!B59="V. ref",('DATA INPUT'!D59+'DATA INPUT'!F59+'DATA INPUT'!H59+'DATA INPUT'!J59)/1.5,IF('DATA INPUT'!B59="S. mel",('DATA INPUT'!D59+'DATA INPUT'!F59+'DATA INPUT'!H59+'DATA INPUT'!J59)/1.5,IF('DATA INPUT'!B59=1,('DATA INPUT'!D59+'DATA INPUT'!F59+'DATA INPUT'!H59+'DATA INPUT'!J59)/1.5,IF('DATA INPUT'!B59=2,('DATA INPUT'!D59+'DATA INPUT'!F59+'DATA INPUT'!H59+'DATA INPUT'!J59)/1.5,FALSE)))))</f>
        <v>0</v>
      </c>
      <c r="N55" s="16">
        <f>'DATA INPUT'!C59</f>
        <v>0</v>
      </c>
      <c r="O55" s="3" t="b">
        <f>IF('DATA INPUT'!B59="T. ser",0.3446*'DATA INPUT'!D59^1.0619,IF('DATA INPUT'!B59="S. mel",(1270.6*'DATA INPUT'!D59^2.0933)/1000,IF('DATA INPUT'!B59="V. ref",(816.25*'DATA INPUT'!D59^2.1754)/1000,IF('DATA INPUT'!B59=1,(1492.4*'DATA INPUT'!D59^1.7591)/1000,IF('DATA INPUT'!B59=2,0.3446*'DATA INPUT'!D59^1.0619,FALSE)))))</f>
        <v>0</v>
      </c>
      <c r="P55" s="3" t="b">
        <f>IF('DATA INPUT'!B59="T. ser",0.3662*'DATA INPUT'!E59^1.5061,IF('DATA INPUT'!B59="S. mel",(748.47*'DATA INPUT'!E59^2.2691)/1000,IF('DATA INPUT'!B59="V. ref",(953.69*'DATA INPUT'!E59^1.9524)/1000,IF('DATA INPUT'!B59=1,(695.02*'DATA INPUT'!E59^2.3452)/1000,IF('DATA INPUT'!B59=2,0.3662*'DATA INPUT'!E59^1.5061,FALSE)))))</f>
        <v>0</v>
      </c>
      <c r="Q55" s="3" t="b">
        <f>IF('DATA INPUT'!B59="T. ser",0.1225*('DATA INPUT'!F59*'DATA INPUT'!G59)^0.8272,IF('DATA INPUT'!B59="S. mel",(925.08*('DATA INPUT'!F59*'DATA INPUT'!G59)^1.1603)/1000,IF('DATA INPUT'!B59="V. ref",(776.29*('DATA INPUT'!F59*'DATA INPUT'!G59)^1.1226)/1000,IF('DATA INPUT'!B59=1,(884.6*('DATA INPUT'!F59*'DATA INPUT'!G59)^1.129)/1000,IF('DATA INPUT'!B59=2,0.1225*('DATA INPUT'!F59*'DATA INPUT'!G59)^0.8272,FALSE)))))</f>
        <v>0</v>
      </c>
      <c r="R55" s="3" t="b">
        <f>IF('DATA INPUT'!B59="T. ser",5.5287*('DATA INPUT'!H59*'DATA INPUT'!I59)^0.8272,IF('DATA INPUT'!B59="S. mel",(31469*('DATA INPUT'!H59*'DATA INPUT'!I59)^0.8608)/1000,IF('DATA INPUT'!B59="V. ref",(39394*('DATA INPUT'!H59*'DATA INPUT'!I59)^1.005)/1000,IF('DATA INPUT'!B59=1,(31791*('DATA INPUT'!H59*'DATA INPUT'!I59)^0.8467)/1000,IF('DATA INPUT'!B59=2,5.5287*('DATA INPUT'!H59*'DATA INPUT'!I59)^0.8272,FALSE)))))</f>
        <v>0</v>
      </c>
      <c r="S55" s="3" t="b">
        <f>IF('DATA INPUT'!B59="T. ser",0.0005*I55^0.5148,IF('DATA INPUT'!B59="S. mel",0.051*I55^0.7789/1000,IF('DATA INPUT'!B59="V. ref",0.0958*I55^0.7253/1000,IF('DATA INPUT'!B59=1,0.0426*I55^0.786/1000,IF('DATA INPUT'!B59=2,0.0005*I55^0.5148,FALSE)))))</f>
        <v>0</v>
      </c>
      <c r="T55" s="59">
        <f t="shared" si="9"/>
        <v>0</v>
      </c>
    </row>
    <row r="56" spans="1:20" x14ac:dyDescent="0.2">
      <c r="A56" s="218">
        <f>'DATA INPUT'!C60</f>
        <v>0</v>
      </c>
      <c r="B56" s="11" t="b">
        <f>IF('DATA INPUT'!B60="T. ser",0.1656*'DATA INPUT'!D60^1.4655,IF('DATA INPUT'!B60="S. mel",135.53*'DATA INPUT'!D60^3.8701/1000,IF('DATA INPUT'!B60="V. ref",143.01*'DATA INPUT'!D60^3.3147/1000,IF('DATA INPUT'!B60=1,143.35*'DATA INPUT'!D60^3.6046/1000,IF('DATA INPUT'!B60=2,0.1656*'DATA INPUT'!D60^1.4655,FALSE)))))</f>
        <v>0</v>
      </c>
      <c r="C56" s="8" t="b">
        <f>IF('DATA INPUT'!B60="T. ser",0.3356*'DATA INPUT'!E60^0.9984,IF('DATA INPUT'!B60="S. mel",24.906*'DATA INPUT'!E60^4.7681/1000,IF('DATA INPUT'!B60="V. ref",118.45*'DATA INPUT'!E60^3.5959/1000,IF('DATA INPUT'!B60=1,55.075*'DATA INPUT'!E60^4.0991/1000,IF('DATA INPUT'!B60=2,0.3356*'DATA INPUT'!E60^0.9984,FALSE)))))</f>
        <v>0</v>
      </c>
      <c r="D56" s="18" t="b">
        <f>IF('DATA INPUT'!B60="T. ser",0.0615*('DATA INPUT'!F60*'DATA INPUT'!G60)^0.9573,IF('DATA INPUT'!B60="S. mel",46.162*('DATA INPUT'!F60*'DATA INPUT'!G60)^2.3652/1000,IF('DATA INPUT'!B60="V. ref",90.34*('DATA INPUT'!F60*'DATA INPUT'!G60)^1.9756/1000,IF('DATA INPUT'!B60=1,63.022*('DATA INPUT'!F60*'DATA INPUT'!G60)^2.1551/1000,IF('DATA INPUT'!B60=2,0.0615*('DATA INPUT'!F60*'DATA INPUT'!G60)^0.9573,FALSE)))))</f>
        <v>0</v>
      </c>
      <c r="E56" s="8" t="b">
        <f>IF('DATA INPUT'!B60="T. ser",5.0562*('DATA INPUT'!H60*'DATA INPUT'!I60)^0.9574,IF('DATA INPUT'!B60="S. mel",44047*('DATA INPUT'!H60*'DATA INPUT'!I60)^1.5456/1000,IF('DATA INPUT'!B60="V. ref",91930*('DATA INPUT'!H60*'DATA INPUT'!I60)^1.7774/1000,IF('DATA INPUT'!B60=1,62601*('DATA INPUT'!H60*'DATA INPUT'!I60)^1.6463/1000,IF('DATA INPUT'!B60=2,5.0562*('DATA INPUT'!H60*'DATA INPUT'!I60)^0.9574,FALSE)))))</f>
        <v>0</v>
      </c>
      <c r="F56" s="18" t="b">
        <f>IF('DATA INPUT'!B60="T. ser",0.0009*I56^0.4477,IF('DATA INPUT'!B60="S. mel",0.0000004*I56^1.4912/1000,IF('DATA INPUT'!B60="V. ref",0.00000005*I56^1.6284/1000,IF('DATA INPUT'!B60=1,0.0000007*I56^1.4601/1000,IF('DATA INPUT'!B60=2,0.0009*I56^0.4477,FALSE)))))</f>
        <v>0</v>
      </c>
      <c r="G56" s="57">
        <f t="shared" si="7"/>
        <v>0</v>
      </c>
      <c r="H56" s="57"/>
      <c r="I56" s="2" t="b">
        <f>IF('DATA INPUT'!B60="T. ser",3.142*'DATA INPUT'!N60^2*'DATA INPUT'!O60/3+3.142*'DATA INPUT'!P60^2/3*(3*'DATA INPUT'!N60-'DATA INPUT'!P60),IF('DATA INPUT'!B60="S. mel",3.142*'DATA INPUT'!N60^2*'DATA INPUT'!O60/3+3.142*'DATA INPUT'!P60^2/3*(3*'DATA INPUT'!N60-'DATA INPUT'!P60),IF('DATA INPUT'!B60="V. ref",3.142*'DATA INPUT'!N60^2*'DATA INPUT'!O60/3+3.142*'DATA INPUT'!P60^2/3*(3*'DATA INPUT'!N60-'DATA INPUT'!P60),IF('DATA INPUT'!B60=1,3.142*'DATA INPUT'!N60^2*'DATA INPUT'!O60/3+3.142*'DATA INPUT'!P60^2/3*(3*'DATA INPUT'!N60-'DATA INPUT'!P60),IF('DATA INPUT'!B60=2,3.142*'DATA INPUT'!N60^2*'DATA INPUT'!O60/3+3.142*'DATA INPUT'!P60^2/3*(3*'DATA INPUT'!N60-'DATA INPUT'!P60),FALSE)))))</f>
        <v>0</v>
      </c>
      <c r="J56" s="2" t="b">
        <f>IF('DATA INPUT'!B60="T. ser",0.0458*CALCULATIONS!I56^0.6841,IF('DATA INPUT'!B60="S. mel",0.6047*CALCULATIONS!I56^0.6433,IF('DATA INPUT'!B60="V. ref",0.77086*CALCULATIONS!I56^0.4936,IF('DATA INPUT'!B60=1,0.68778*CALCULATIONS!I56^0.56845,IF('DATA INPUT'!B60=2,0.0458*CALCULATIONS!I56^0.6841,FALSE)))))</f>
        <v>0</v>
      </c>
      <c r="K56" s="3">
        <f t="shared" si="8"/>
        <v>0</v>
      </c>
      <c r="L56" s="3" t="b">
        <f>IF('DATA INPUT'!B60="T. ser",('DATA INPUT'!D60+'DATA INPUT'!F60+'DATA INPUT'!H60+'DATA INPUT'!J60)/1.5,IF('DATA INPUT'!B60="V. ref",('DATA INPUT'!D60+'DATA INPUT'!F60+'DATA INPUT'!H60+'DATA INPUT'!J60)/1.5,IF('DATA INPUT'!B60="S. mel",('DATA INPUT'!D60+'DATA INPUT'!F60+'DATA INPUT'!H60+'DATA INPUT'!J60)/1.5,IF('DATA INPUT'!B60=1,('DATA INPUT'!D60+'DATA INPUT'!F60+'DATA INPUT'!H60+'DATA INPUT'!J60)/1.5,IF('DATA INPUT'!B60=2,('DATA INPUT'!D60+'DATA INPUT'!F60+'DATA INPUT'!H60+'DATA INPUT'!J60)/1.5,FALSE)))))</f>
        <v>0</v>
      </c>
      <c r="N56" s="16">
        <f>'DATA INPUT'!C60</f>
        <v>0</v>
      </c>
      <c r="O56" s="3" t="b">
        <f>IF('DATA INPUT'!B60="T. ser",0.3446*'DATA INPUT'!D60^1.0619,IF('DATA INPUT'!B60="S. mel",(1270.6*'DATA INPUT'!D60^2.0933)/1000,IF('DATA INPUT'!B60="V. ref",(816.25*'DATA INPUT'!D60^2.1754)/1000,IF('DATA INPUT'!B60=1,(1492.4*'DATA INPUT'!D60^1.7591)/1000,IF('DATA INPUT'!B60=2,0.3446*'DATA INPUT'!D60^1.0619,FALSE)))))</f>
        <v>0</v>
      </c>
      <c r="P56" s="3" t="b">
        <f>IF('DATA INPUT'!B60="T. ser",0.3662*'DATA INPUT'!E60^1.5061,IF('DATA INPUT'!B60="S. mel",(748.47*'DATA INPUT'!E60^2.2691)/1000,IF('DATA INPUT'!B60="V. ref",(953.69*'DATA INPUT'!E60^1.9524)/1000,IF('DATA INPUT'!B60=1,(695.02*'DATA INPUT'!E60^2.3452)/1000,IF('DATA INPUT'!B60=2,0.3662*'DATA INPUT'!E60^1.5061,FALSE)))))</f>
        <v>0</v>
      </c>
      <c r="Q56" s="3" t="b">
        <f>IF('DATA INPUT'!B60="T. ser",0.1225*('DATA INPUT'!F60*'DATA INPUT'!G60)^0.8272,IF('DATA INPUT'!B60="S. mel",(925.08*('DATA INPUT'!F60*'DATA INPUT'!G60)^1.1603)/1000,IF('DATA INPUT'!B60="V. ref",(776.29*('DATA INPUT'!F60*'DATA INPUT'!G60)^1.1226)/1000,IF('DATA INPUT'!B60=1,(884.6*('DATA INPUT'!F60*'DATA INPUT'!G60)^1.129)/1000,IF('DATA INPUT'!B60=2,0.1225*('DATA INPUT'!F60*'DATA INPUT'!G60)^0.8272,FALSE)))))</f>
        <v>0</v>
      </c>
      <c r="R56" s="3" t="b">
        <f>IF('DATA INPUT'!B60="T. ser",5.5287*('DATA INPUT'!H60*'DATA INPUT'!I60)^0.8272,IF('DATA INPUT'!B60="S. mel",(31469*('DATA INPUT'!H60*'DATA INPUT'!I60)^0.8608)/1000,IF('DATA INPUT'!B60="V. ref",(39394*('DATA INPUT'!H60*'DATA INPUT'!I60)^1.005)/1000,IF('DATA INPUT'!B60=1,(31791*('DATA INPUT'!H60*'DATA INPUT'!I60)^0.8467)/1000,IF('DATA INPUT'!B60=2,5.5287*('DATA INPUT'!H60*'DATA INPUT'!I60)^0.8272,FALSE)))))</f>
        <v>0</v>
      </c>
      <c r="S56" s="3" t="b">
        <f>IF('DATA INPUT'!B60="T. ser",0.0005*I56^0.5148,IF('DATA INPUT'!B60="S. mel",0.051*I56^0.7789/1000,IF('DATA INPUT'!B60="V. ref",0.0958*I56^0.7253/1000,IF('DATA INPUT'!B60=1,0.0426*I56^0.786/1000,IF('DATA INPUT'!B60=2,0.0005*I56^0.5148,FALSE)))))</f>
        <v>0</v>
      </c>
      <c r="T56" s="59">
        <f t="shared" si="9"/>
        <v>0</v>
      </c>
    </row>
    <row r="57" spans="1:20" x14ac:dyDescent="0.2">
      <c r="A57" s="218">
        <f>'DATA INPUT'!C61</f>
        <v>0</v>
      </c>
      <c r="B57" s="11" t="b">
        <f>IF('DATA INPUT'!B61="T. ser",0.1656*'DATA INPUT'!D61^1.4655,IF('DATA INPUT'!B61="S. mel",135.53*'DATA INPUT'!D61^3.8701/1000,IF('DATA INPUT'!B61="V. ref",143.01*'DATA INPUT'!D61^3.3147/1000,IF('DATA INPUT'!B61=1,143.35*'DATA INPUT'!D61^3.6046/1000,IF('DATA INPUT'!B61=2,0.1656*'DATA INPUT'!D61^1.4655,FALSE)))))</f>
        <v>0</v>
      </c>
      <c r="C57" s="8" t="b">
        <f>IF('DATA INPUT'!B61="T. ser",0.3356*'DATA INPUT'!E61^0.9984,IF('DATA INPUT'!B61="S. mel",24.906*'DATA INPUT'!E61^4.7681/1000,IF('DATA INPUT'!B61="V. ref",118.45*'DATA INPUT'!E61^3.5959/1000,IF('DATA INPUT'!B61=1,55.075*'DATA INPUT'!E61^4.0991/1000,IF('DATA INPUT'!B61=2,0.3356*'DATA INPUT'!E61^0.9984,FALSE)))))</f>
        <v>0</v>
      </c>
      <c r="D57" s="18" t="b">
        <f>IF('DATA INPUT'!B61="T. ser",0.0615*('DATA INPUT'!F61*'DATA INPUT'!G61)^0.9573,IF('DATA INPUT'!B61="S. mel",46.162*('DATA INPUT'!F61*'DATA INPUT'!G61)^2.3652/1000,IF('DATA INPUT'!B61="V. ref",90.34*('DATA INPUT'!F61*'DATA INPUT'!G61)^1.9756/1000,IF('DATA INPUT'!B61=1,63.022*('DATA INPUT'!F61*'DATA INPUT'!G61)^2.1551/1000,IF('DATA INPUT'!B61=2,0.0615*('DATA INPUT'!F61*'DATA INPUT'!G61)^0.9573,FALSE)))))</f>
        <v>0</v>
      </c>
      <c r="E57" s="8" t="b">
        <f>IF('DATA INPUT'!B61="T. ser",5.0562*('DATA INPUT'!H61*'DATA INPUT'!I61)^0.9574,IF('DATA INPUT'!B61="S. mel",44047*('DATA INPUT'!H61*'DATA INPUT'!I61)^1.5456/1000,IF('DATA INPUT'!B61="V. ref",91930*('DATA INPUT'!H61*'DATA INPUT'!I61)^1.7774/1000,IF('DATA INPUT'!B61=1,62601*('DATA INPUT'!H61*'DATA INPUT'!I61)^1.6463/1000,IF('DATA INPUT'!B61=2,5.0562*('DATA INPUT'!H61*'DATA INPUT'!I61)^0.9574,FALSE)))))</f>
        <v>0</v>
      </c>
      <c r="F57" s="18" t="b">
        <f>IF('DATA INPUT'!B61="T. ser",0.0009*I57^0.4477,IF('DATA INPUT'!B61="S. mel",0.0000004*I57^1.4912/1000,IF('DATA INPUT'!B61="V. ref",0.00000005*I57^1.6284/1000,IF('DATA INPUT'!B61=1,0.0000007*I57^1.4601/1000,IF('DATA INPUT'!B61=2,0.0009*I57^0.4477,FALSE)))))</f>
        <v>0</v>
      </c>
      <c r="G57" s="57">
        <f t="shared" si="7"/>
        <v>0</v>
      </c>
      <c r="H57" s="57"/>
      <c r="I57" s="2" t="b">
        <f>IF('DATA INPUT'!B61="T. ser",3.142*'DATA INPUT'!N61^2*'DATA INPUT'!O61/3+3.142*'DATA INPUT'!P61^2/3*(3*'DATA INPUT'!N61-'DATA INPUT'!P61),IF('DATA INPUT'!B61="S. mel",3.142*'DATA INPUT'!N61^2*'DATA INPUT'!O61/3+3.142*'DATA INPUT'!P61^2/3*(3*'DATA INPUT'!N61-'DATA INPUT'!P61),IF('DATA INPUT'!B61="V. ref",3.142*'DATA INPUT'!N61^2*'DATA INPUT'!O61/3+3.142*'DATA INPUT'!P61^2/3*(3*'DATA INPUT'!N61-'DATA INPUT'!P61),IF('DATA INPUT'!B61=1,3.142*'DATA INPUT'!N61^2*'DATA INPUT'!O61/3+3.142*'DATA INPUT'!P61^2/3*(3*'DATA INPUT'!N61-'DATA INPUT'!P61),IF('DATA INPUT'!B61=2,3.142*'DATA INPUT'!N61^2*'DATA INPUT'!O61/3+3.142*'DATA INPUT'!P61^2/3*(3*'DATA INPUT'!N61-'DATA INPUT'!P61),FALSE)))))</f>
        <v>0</v>
      </c>
      <c r="J57" s="2" t="b">
        <f>IF('DATA INPUT'!B61="T. ser",0.0458*CALCULATIONS!I57^0.6841,IF('DATA INPUT'!B61="S. mel",0.6047*CALCULATIONS!I57^0.6433,IF('DATA INPUT'!B61="V. ref",0.77086*CALCULATIONS!I57^0.4936,IF('DATA INPUT'!B61=1,0.68778*CALCULATIONS!I57^0.56845,IF('DATA INPUT'!B61=2,0.0458*CALCULATIONS!I57^0.6841,FALSE)))))</f>
        <v>0</v>
      </c>
      <c r="K57" s="3">
        <f t="shared" si="8"/>
        <v>0</v>
      </c>
      <c r="L57" s="3" t="b">
        <f>IF('DATA INPUT'!B61="T. ser",('DATA INPUT'!D61+'DATA INPUT'!F61+'DATA INPUT'!H61+'DATA INPUT'!J61)/1.5,IF('DATA INPUT'!B61="V. ref",('DATA INPUT'!D61+'DATA INPUT'!F61+'DATA INPUT'!H61+'DATA INPUT'!J61)/1.5,IF('DATA INPUT'!B61="S. mel",('DATA INPUT'!D61+'DATA INPUT'!F61+'DATA INPUT'!H61+'DATA INPUT'!J61)/1.5,IF('DATA INPUT'!B61=1,('DATA INPUT'!D61+'DATA INPUT'!F61+'DATA INPUT'!H61+'DATA INPUT'!J61)/1.5,IF('DATA INPUT'!B61=2,('DATA INPUT'!D61+'DATA INPUT'!F61+'DATA INPUT'!H61+'DATA INPUT'!J61)/1.5,FALSE)))))</f>
        <v>0</v>
      </c>
      <c r="N57" s="16">
        <f>'DATA INPUT'!C61</f>
        <v>0</v>
      </c>
      <c r="O57" s="3" t="b">
        <f>IF('DATA INPUT'!B61="T. ser",0.3446*'DATA INPUT'!D61^1.0619,IF('DATA INPUT'!B61="S. mel",(1270.6*'DATA INPUT'!D61^2.0933)/1000,IF('DATA INPUT'!B61="V. ref",(816.25*'DATA INPUT'!D61^2.1754)/1000,IF('DATA INPUT'!B61=1,(1492.4*'DATA INPUT'!D61^1.7591)/1000,IF('DATA INPUT'!B61=2,0.3446*'DATA INPUT'!D61^1.0619,FALSE)))))</f>
        <v>0</v>
      </c>
      <c r="P57" s="3" t="b">
        <f>IF('DATA INPUT'!B61="T. ser",0.3662*'DATA INPUT'!E61^1.5061,IF('DATA INPUT'!B61="S. mel",(748.47*'DATA INPUT'!E61^2.2691)/1000,IF('DATA INPUT'!B61="V. ref",(953.69*'DATA INPUT'!E61^1.9524)/1000,IF('DATA INPUT'!B61=1,(695.02*'DATA INPUT'!E61^2.3452)/1000,IF('DATA INPUT'!B61=2,0.3662*'DATA INPUT'!E61^1.5061,FALSE)))))</f>
        <v>0</v>
      </c>
      <c r="Q57" s="3" t="b">
        <f>IF('DATA INPUT'!B61="T. ser",0.1225*('DATA INPUT'!F61*'DATA INPUT'!G61)^0.8272,IF('DATA INPUT'!B61="S. mel",(925.08*('DATA INPUT'!F61*'DATA INPUT'!G61)^1.1603)/1000,IF('DATA INPUT'!B61="V. ref",(776.29*('DATA INPUT'!F61*'DATA INPUT'!G61)^1.1226)/1000,IF('DATA INPUT'!B61=1,(884.6*('DATA INPUT'!F61*'DATA INPUT'!G61)^1.129)/1000,IF('DATA INPUT'!B61=2,0.1225*('DATA INPUT'!F61*'DATA INPUT'!G61)^0.8272,FALSE)))))</f>
        <v>0</v>
      </c>
      <c r="R57" s="3" t="b">
        <f>IF('DATA INPUT'!B61="T. ser",5.5287*('DATA INPUT'!H61*'DATA INPUT'!I61)^0.8272,IF('DATA INPUT'!B61="S. mel",(31469*('DATA INPUT'!H61*'DATA INPUT'!I61)^0.8608)/1000,IF('DATA INPUT'!B61="V. ref",(39394*('DATA INPUT'!H61*'DATA INPUT'!I61)^1.005)/1000,IF('DATA INPUT'!B61=1,(31791*('DATA INPUT'!H61*'DATA INPUT'!I61)^0.8467)/1000,IF('DATA INPUT'!B61=2,5.5287*('DATA INPUT'!H61*'DATA INPUT'!I61)^0.8272,FALSE)))))</f>
        <v>0</v>
      </c>
      <c r="S57" s="3" t="b">
        <f>IF('DATA INPUT'!B61="T. ser",0.0005*I57^0.5148,IF('DATA INPUT'!B61="S. mel",0.051*I57^0.7789/1000,IF('DATA INPUT'!B61="V. ref",0.0958*I57^0.7253/1000,IF('DATA INPUT'!B61=1,0.0426*I57^0.786/1000,IF('DATA INPUT'!B61=2,0.0005*I57^0.5148,FALSE)))))</f>
        <v>0</v>
      </c>
      <c r="T57" s="59">
        <f t="shared" si="9"/>
        <v>0</v>
      </c>
    </row>
    <row r="58" spans="1:20" x14ac:dyDescent="0.2">
      <c r="A58" s="218">
        <f>'DATA INPUT'!C62</f>
        <v>0</v>
      </c>
      <c r="B58" s="11" t="b">
        <f>IF('DATA INPUT'!B62="T. ser",0.1656*'DATA INPUT'!D62^1.4655,IF('DATA INPUT'!B62="S. mel",135.53*'DATA INPUT'!D62^3.8701/1000,IF('DATA INPUT'!B62="V. ref",143.01*'DATA INPUT'!D62^3.3147/1000,IF('DATA INPUT'!B62=1,143.35*'DATA INPUT'!D62^3.6046/1000,IF('DATA INPUT'!B62=2,0.1656*'DATA INPUT'!D62^1.4655,FALSE)))))</f>
        <v>0</v>
      </c>
      <c r="C58" s="8" t="b">
        <f>IF('DATA INPUT'!B62="T. ser",0.3356*'DATA INPUT'!E62^0.9984,IF('DATA INPUT'!B62="S. mel",24.906*'DATA INPUT'!E62^4.7681/1000,IF('DATA INPUT'!B62="V. ref",118.45*'DATA INPUT'!E62^3.5959/1000,IF('DATA INPUT'!B62=1,55.075*'DATA INPUT'!E62^4.0991/1000,IF('DATA INPUT'!B62=2,0.3356*'DATA INPUT'!E62^0.9984,FALSE)))))</f>
        <v>0</v>
      </c>
      <c r="D58" s="18" t="b">
        <f>IF('DATA INPUT'!B62="T. ser",0.0615*('DATA INPUT'!F62*'DATA INPUT'!G62)^0.9573,IF('DATA INPUT'!B62="S. mel",46.162*('DATA INPUT'!F62*'DATA INPUT'!G62)^2.3652/1000,IF('DATA INPUT'!B62="V. ref",90.34*('DATA INPUT'!F62*'DATA INPUT'!G62)^1.9756/1000,IF('DATA INPUT'!B62=1,63.022*('DATA INPUT'!F62*'DATA INPUT'!G62)^2.1551/1000,IF('DATA INPUT'!B62=2,0.0615*('DATA INPUT'!F62*'DATA INPUT'!G62)^0.9573,FALSE)))))</f>
        <v>0</v>
      </c>
      <c r="E58" s="8" t="b">
        <f>IF('DATA INPUT'!B62="T. ser",5.0562*('DATA INPUT'!H62*'DATA INPUT'!I62)^0.9574,IF('DATA INPUT'!B62="S. mel",44047*('DATA INPUT'!H62*'DATA INPUT'!I62)^1.5456/1000,IF('DATA INPUT'!B62="V. ref",91930*('DATA INPUT'!H62*'DATA INPUT'!I62)^1.7774/1000,IF('DATA INPUT'!B62=1,62601*('DATA INPUT'!H62*'DATA INPUT'!I62)^1.6463/1000,IF('DATA INPUT'!B62=2,5.0562*('DATA INPUT'!H62*'DATA INPUT'!I62)^0.9574,FALSE)))))</f>
        <v>0</v>
      </c>
      <c r="F58" s="18" t="b">
        <f>IF('DATA INPUT'!B62="T. ser",0.0009*I58^0.4477,IF('DATA INPUT'!B62="S. mel",0.0000004*I58^1.4912/1000,IF('DATA INPUT'!B62="V. ref",0.00000005*I58^1.6284/1000,IF('DATA INPUT'!B62=1,0.0000007*I58^1.4601/1000,IF('DATA INPUT'!B62=2,0.0009*I58^0.4477,FALSE)))))</f>
        <v>0</v>
      </c>
      <c r="G58" s="57">
        <f t="shared" si="7"/>
        <v>0</v>
      </c>
      <c r="H58" s="57"/>
      <c r="I58" s="2" t="b">
        <f>IF('DATA INPUT'!B62="T. ser",3.142*'DATA INPUT'!N62^2*'DATA INPUT'!O62/3+3.142*'DATA INPUT'!P62^2/3*(3*'DATA INPUT'!N62-'DATA INPUT'!P62),IF('DATA INPUT'!B62="S. mel",3.142*'DATA INPUT'!N62^2*'DATA INPUT'!O62/3+3.142*'DATA INPUT'!P62^2/3*(3*'DATA INPUT'!N62-'DATA INPUT'!P62),IF('DATA INPUT'!B62="V. ref",3.142*'DATA INPUT'!N62^2*'DATA INPUT'!O62/3+3.142*'DATA INPUT'!P62^2/3*(3*'DATA INPUT'!N62-'DATA INPUT'!P62),IF('DATA INPUT'!B62=1,3.142*'DATA INPUT'!N62^2*'DATA INPUT'!O62/3+3.142*'DATA INPUT'!P62^2/3*(3*'DATA INPUT'!N62-'DATA INPUT'!P62),IF('DATA INPUT'!B62=2,3.142*'DATA INPUT'!N62^2*'DATA INPUT'!O62/3+3.142*'DATA INPUT'!P62^2/3*(3*'DATA INPUT'!N62-'DATA INPUT'!P62),FALSE)))))</f>
        <v>0</v>
      </c>
      <c r="J58" s="2" t="b">
        <f>IF('DATA INPUT'!B62="T. ser",0.0458*CALCULATIONS!I58^0.6841,IF('DATA INPUT'!B62="S. mel",0.6047*CALCULATIONS!I58^0.6433,IF('DATA INPUT'!B62="V. ref",0.77086*CALCULATIONS!I58^0.4936,IF('DATA INPUT'!B62=1,0.68778*CALCULATIONS!I58^0.56845,IF('DATA INPUT'!B62=2,0.0458*CALCULATIONS!I58^0.6841,FALSE)))))</f>
        <v>0</v>
      </c>
      <c r="K58" s="3">
        <f t="shared" si="8"/>
        <v>0</v>
      </c>
      <c r="L58" s="3" t="b">
        <f>IF('DATA INPUT'!B62="T. ser",('DATA INPUT'!D62+'DATA INPUT'!F62+'DATA INPUT'!H62+'DATA INPUT'!J62)/1.5,IF('DATA INPUT'!B62="V. ref",('DATA INPUT'!D62+'DATA INPUT'!F62+'DATA INPUT'!H62+'DATA INPUT'!J62)/1.5,IF('DATA INPUT'!B62="S. mel",('DATA INPUT'!D62+'DATA INPUT'!F62+'DATA INPUT'!H62+'DATA INPUT'!J62)/1.5,IF('DATA INPUT'!B62=1,('DATA INPUT'!D62+'DATA INPUT'!F62+'DATA INPUT'!H62+'DATA INPUT'!J62)/1.5,IF('DATA INPUT'!B62=2,('DATA INPUT'!D62+'DATA INPUT'!F62+'DATA INPUT'!H62+'DATA INPUT'!J62)/1.5,FALSE)))))</f>
        <v>0</v>
      </c>
      <c r="N58" s="16">
        <f>'DATA INPUT'!C62</f>
        <v>0</v>
      </c>
      <c r="O58" s="3" t="b">
        <f>IF('DATA INPUT'!B62="T. ser",0.3446*'DATA INPUT'!D62^1.0619,IF('DATA INPUT'!B62="S. mel",(1270.6*'DATA INPUT'!D62^2.0933)/1000,IF('DATA INPUT'!B62="V. ref",(816.25*'DATA INPUT'!D62^2.1754)/1000,IF('DATA INPUT'!B62=1,(1492.4*'DATA INPUT'!D62^1.7591)/1000,IF('DATA INPUT'!B62=2,0.3446*'DATA INPUT'!D62^1.0619,FALSE)))))</f>
        <v>0</v>
      </c>
      <c r="P58" s="3" t="b">
        <f>IF('DATA INPUT'!B62="T. ser",0.3662*'DATA INPUT'!E62^1.5061,IF('DATA INPUT'!B62="S. mel",(748.47*'DATA INPUT'!E62^2.2691)/1000,IF('DATA INPUT'!B62="V. ref",(953.69*'DATA INPUT'!E62^1.9524)/1000,IF('DATA INPUT'!B62=1,(695.02*'DATA INPUT'!E62^2.3452)/1000,IF('DATA INPUT'!B62=2,0.3662*'DATA INPUT'!E62^1.5061,FALSE)))))</f>
        <v>0</v>
      </c>
      <c r="Q58" s="3" t="b">
        <f>IF('DATA INPUT'!B62="T. ser",0.1225*('DATA INPUT'!F62*'DATA INPUT'!G62)^0.8272,IF('DATA INPUT'!B62="S. mel",(925.08*('DATA INPUT'!F62*'DATA INPUT'!G62)^1.1603)/1000,IF('DATA INPUT'!B62="V. ref",(776.29*('DATA INPUT'!F62*'DATA INPUT'!G62)^1.1226)/1000,IF('DATA INPUT'!B62=1,(884.6*('DATA INPUT'!F62*'DATA INPUT'!G62)^1.129)/1000,IF('DATA INPUT'!B62=2,0.1225*('DATA INPUT'!F62*'DATA INPUT'!G62)^0.8272,FALSE)))))</f>
        <v>0</v>
      </c>
      <c r="R58" s="3" t="b">
        <f>IF('DATA INPUT'!B62="T. ser",5.5287*('DATA INPUT'!H62*'DATA INPUT'!I62)^0.8272,IF('DATA INPUT'!B62="S. mel",(31469*('DATA INPUT'!H62*'DATA INPUT'!I62)^0.8608)/1000,IF('DATA INPUT'!B62="V. ref",(39394*('DATA INPUT'!H62*'DATA INPUT'!I62)^1.005)/1000,IF('DATA INPUT'!B62=1,(31791*('DATA INPUT'!H62*'DATA INPUT'!I62)^0.8467)/1000,IF('DATA INPUT'!B62=2,5.5287*('DATA INPUT'!H62*'DATA INPUT'!I62)^0.8272,FALSE)))))</f>
        <v>0</v>
      </c>
      <c r="S58" s="3" t="b">
        <f>IF('DATA INPUT'!B62="T. ser",0.0005*I58^0.5148,IF('DATA INPUT'!B62="S. mel",0.051*I58^0.7789/1000,IF('DATA INPUT'!B62="V. ref",0.0958*I58^0.7253/1000,IF('DATA INPUT'!B62=1,0.0426*I58^0.786/1000,IF('DATA INPUT'!B62=2,0.0005*I58^0.5148,FALSE)))))</f>
        <v>0</v>
      </c>
      <c r="T58" s="59">
        <f t="shared" si="9"/>
        <v>0</v>
      </c>
    </row>
    <row r="59" spans="1:20" x14ac:dyDescent="0.2">
      <c r="A59" s="218">
        <f>'DATA INPUT'!C63</f>
        <v>0</v>
      </c>
      <c r="B59" s="11" t="b">
        <f>IF('DATA INPUT'!B63="T. ser",0.1656*'DATA INPUT'!D63^1.4655,IF('DATA INPUT'!B63="S. mel",135.53*'DATA INPUT'!D63^3.8701/1000,IF('DATA INPUT'!B63="V. ref",143.01*'DATA INPUT'!D63^3.3147/1000,IF('DATA INPUT'!B63=1,143.35*'DATA INPUT'!D63^3.6046/1000,IF('DATA INPUT'!B63=2,0.1656*'DATA INPUT'!D63^1.4655,FALSE)))))</f>
        <v>0</v>
      </c>
      <c r="C59" s="8" t="b">
        <f>IF('DATA INPUT'!B63="T. ser",0.3356*'DATA INPUT'!E63^0.9984,IF('DATA INPUT'!B63="S. mel",24.906*'DATA INPUT'!E63^4.7681/1000,IF('DATA INPUT'!B63="V. ref",118.45*'DATA INPUT'!E63^3.5959/1000,IF('DATA INPUT'!B63=1,55.075*'DATA INPUT'!E63^4.0991/1000,IF('DATA INPUT'!B63=2,0.3356*'DATA INPUT'!E63^0.9984,FALSE)))))</f>
        <v>0</v>
      </c>
      <c r="D59" s="18" t="b">
        <f>IF('DATA INPUT'!B63="T. ser",0.0615*('DATA INPUT'!F63*'DATA INPUT'!G63)^0.9573,IF('DATA INPUT'!B63="S. mel",46.162*('DATA INPUT'!F63*'DATA INPUT'!G63)^2.3652/1000,IF('DATA INPUT'!B63="V. ref",90.34*('DATA INPUT'!F63*'DATA INPUT'!G63)^1.9756/1000,IF('DATA INPUT'!B63=1,63.022*('DATA INPUT'!F63*'DATA INPUT'!G63)^2.1551/1000,IF('DATA INPUT'!B63=2,0.0615*('DATA INPUT'!F63*'DATA INPUT'!G63)^0.9573,FALSE)))))</f>
        <v>0</v>
      </c>
      <c r="E59" s="8" t="b">
        <f>IF('DATA INPUT'!B63="T. ser",5.0562*('DATA INPUT'!H63*'DATA INPUT'!I63)^0.9574,IF('DATA INPUT'!B63="S. mel",44047*('DATA INPUT'!H63*'DATA INPUT'!I63)^1.5456/1000,IF('DATA INPUT'!B63="V. ref",91930*('DATA INPUT'!H63*'DATA INPUT'!I63)^1.7774/1000,IF('DATA INPUT'!B63=1,62601*('DATA INPUT'!H63*'DATA INPUT'!I63)^1.6463/1000,IF('DATA INPUT'!B63=2,5.0562*('DATA INPUT'!H63*'DATA INPUT'!I63)^0.9574,FALSE)))))</f>
        <v>0</v>
      </c>
      <c r="F59" s="18" t="b">
        <f>IF('DATA INPUT'!B63="T. ser",0.0009*I59^0.4477,IF('DATA INPUT'!B63="S. mel",0.0000004*I59^1.4912/1000,IF('DATA INPUT'!B63="V. ref",0.00000005*I59^1.6284/1000,IF('DATA INPUT'!B63=1,0.0000007*I59^1.4601/1000,IF('DATA INPUT'!B63=2,0.0009*I59^0.4477,FALSE)))))</f>
        <v>0</v>
      </c>
      <c r="G59" s="57">
        <f t="shared" si="7"/>
        <v>0</v>
      </c>
      <c r="H59" s="57"/>
      <c r="I59" s="2" t="b">
        <f>IF('DATA INPUT'!B63="T. ser",3.142*'DATA INPUT'!N63^2*'DATA INPUT'!O63/3+3.142*'DATA INPUT'!P63^2/3*(3*'DATA INPUT'!N63-'DATA INPUT'!P63),IF('DATA INPUT'!B63="S. mel",3.142*'DATA INPUT'!N63^2*'DATA INPUT'!O63/3+3.142*'DATA INPUT'!P63^2/3*(3*'DATA INPUT'!N63-'DATA INPUT'!P63),IF('DATA INPUT'!B63="V. ref",3.142*'DATA INPUT'!N63^2*'DATA INPUT'!O63/3+3.142*'DATA INPUT'!P63^2/3*(3*'DATA INPUT'!N63-'DATA INPUT'!P63),IF('DATA INPUT'!B63=1,3.142*'DATA INPUT'!N63^2*'DATA INPUT'!O63/3+3.142*'DATA INPUT'!P63^2/3*(3*'DATA INPUT'!N63-'DATA INPUT'!P63),IF('DATA INPUT'!B63=2,3.142*'DATA INPUT'!N63^2*'DATA INPUT'!O63/3+3.142*'DATA INPUT'!P63^2/3*(3*'DATA INPUT'!N63-'DATA INPUT'!P63),FALSE)))))</f>
        <v>0</v>
      </c>
      <c r="J59" s="2" t="b">
        <f>IF('DATA INPUT'!B63="T. ser",0.0458*CALCULATIONS!I59^0.6841,IF('DATA INPUT'!B63="S. mel",0.6047*CALCULATIONS!I59^0.6433,IF('DATA INPUT'!B63="V. ref",0.77086*CALCULATIONS!I59^0.4936,IF('DATA INPUT'!B63=1,0.68778*CALCULATIONS!I59^0.56845,IF('DATA INPUT'!B63=2,0.0458*CALCULATIONS!I59^0.6841,FALSE)))))</f>
        <v>0</v>
      </c>
      <c r="K59" s="3">
        <f t="shared" si="8"/>
        <v>0</v>
      </c>
      <c r="L59" s="3" t="b">
        <f>IF('DATA INPUT'!B63="T. ser",('DATA INPUT'!D63+'DATA INPUT'!F63+'DATA INPUT'!H63+'DATA INPUT'!J63)/1.5,IF('DATA INPUT'!B63="V. ref",('DATA INPUT'!D63+'DATA INPUT'!F63+'DATA INPUT'!H63+'DATA INPUT'!J63)/1.5,IF('DATA INPUT'!B63="S. mel",('DATA INPUT'!D63+'DATA INPUT'!F63+'DATA INPUT'!H63+'DATA INPUT'!J63)/1.5,IF('DATA INPUT'!B63=1,('DATA INPUT'!D63+'DATA INPUT'!F63+'DATA INPUT'!H63+'DATA INPUT'!J63)/1.5,IF('DATA INPUT'!B63=2,('DATA INPUT'!D63+'DATA INPUT'!F63+'DATA INPUT'!H63+'DATA INPUT'!J63)/1.5,FALSE)))))</f>
        <v>0</v>
      </c>
      <c r="N59" s="16">
        <f>'DATA INPUT'!C63</f>
        <v>0</v>
      </c>
      <c r="O59" s="3" t="b">
        <f>IF('DATA INPUT'!B63="T. ser",0.3446*'DATA INPUT'!D63^1.0619,IF('DATA INPUT'!B63="S. mel",(1270.6*'DATA INPUT'!D63^2.0933)/1000,IF('DATA INPUT'!B63="V. ref",(816.25*'DATA INPUT'!D63^2.1754)/1000,IF('DATA INPUT'!B63=1,(1492.4*'DATA INPUT'!D63^1.7591)/1000,IF('DATA INPUT'!B63=2,0.3446*'DATA INPUT'!D63^1.0619,FALSE)))))</f>
        <v>0</v>
      </c>
      <c r="P59" s="3" t="b">
        <f>IF('DATA INPUT'!B63="T. ser",0.3662*'DATA INPUT'!E63^1.5061,IF('DATA INPUT'!B63="S. mel",(748.47*'DATA INPUT'!E63^2.2691)/1000,IF('DATA INPUT'!B63="V. ref",(953.69*'DATA INPUT'!E63^1.9524)/1000,IF('DATA INPUT'!B63=1,(695.02*'DATA INPUT'!E63^2.3452)/1000,IF('DATA INPUT'!B63=2,0.3662*'DATA INPUT'!E63^1.5061,FALSE)))))</f>
        <v>0</v>
      </c>
      <c r="Q59" s="3" t="b">
        <f>IF('DATA INPUT'!B63="T. ser",0.1225*('DATA INPUT'!F63*'DATA INPUT'!G63)^0.8272,IF('DATA INPUT'!B63="S. mel",(925.08*('DATA INPUT'!F63*'DATA INPUT'!G63)^1.1603)/1000,IF('DATA INPUT'!B63="V. ref",(776.29*('DATA INPUT'!F63*'DATA INPUT'!G63)^1.1226)/1000,IF('DATA INPUT'!B63=1,(884.6*('DATA INPUT'!F63*'DATA INPUT'!G63)^1.129)/1000,IF('DATA INPUT'!B63=2,0.1225*('DATA INPUT'!F63*'DATA INPUT'!G63)^0.8272,FALSE)))))</f>
        <v>0</v>
      </c>
      <c r="R59" s="3" t="b">
        <f>IF('DATA INPUT'!B63="T. ser",5.5287*('DATA INPUT'!H63*'DATA INPUT'!I63)^0.8272,IF('DATA INPUT'!B63="S. mel",(31469*('DATA INPUT'!H63*'DATA INPUT'!I63)^0.8608)/1000,IF('DATA INPUT'!B63="V. ref",(39394*('DATA INPUT'!H63*'DATA INPUT'!I63)^1.005)/1000,IF('DATA INPUT'!B63=1,(31791*('DATA INPUT'!H63*'DATA INPUT'!I63)^0.8467)/1000,IF('DATA INPUT'!B63=2,5.5287*('DATA INPUT'!H63*'DATA INPUT'!I63)^0.8272,FALSE)))))</f>
        <v>0</v>
      </c>
      <c r="S59" s="3" t="b">
        <f>IF('DATA INPUT'!B63="T. ser",0.0005*I59^0.5148,IF('DATA INPUT'!B63="S. mel",0.051*I59^0.7789/1000,IF('DATA INPUT'!B63="V. ref",0.0958*I59^0.7253/1000,IF('DATA INPUT'!B63=1,0.0426*I59^0.786/1000,IF('DATA INPUT'!B63=2,0.0005*I59^0.5148,FALSE)))))</f>
        <v>0</v>
      </c>
      <c r="T59" s="59">
        <f t="shared" si="9"/>
        <v>0</v>
      </c>
    </row>
    <row r="60" spans="1:20" x14ac:dyDescent="0.2">
      <c r="A60" s="218">
        <f>'DATA INPUT'!C64</f>
        <v>0</v>
      </c>
      <c r="B60" s="11" t="b">
        <f>IF('DATA INPUT'!B64="T. ser",0.1656*'DATA INPUT'!D64^1.4655,IF('DATA INPUT'!B64="S. mel",135.53*'DATA INPUT'!D64^3.8701/1000,IF('DATA INPUT'!B64="V. ref",143.01*'DATA INPUT'!D64^3.3147/1000,IF('DATA INPUT'!B64=1,143.35*'DATA INPUT'!D64^3.6046/1000,IF('DATA INPUT'!B64=2,0.1656*'DATA INPUT'!D64^1.4655,FALSE)))))</f>
        <v>0</v>
      </c>
      <c r="C60" s="8" t="b">
        <f>IF('DATA INPUT'!B64="T. ser",0.3356*'DATA INPUT'!E64^0.9984,IF('DATA INPUT'!B64="S. mel",24.906*'DATA INPUT'!E64^4.7681/1000,IF('DATA INPUT'!B64="V. ref",118.45*'DATA INPUT'!E64^3.5959/1000,IF('DATA INPUT'!B64=1,55.075*'DATA INPUT'!E64^4.0991/1000,IF('DATA INPUT'!B64=2,0.3356*'DATA INPUT'!E64^0.9984,FALSE)))))</f>
        <v>0</v>
      </c>
      <c r="D60" s="18" t="b">
        <f>IF('DATA INPUT'!B64="T. ser",0.0615*('DATA INPUT'!F64*'DATA INPUT'!G64)^0.9573,IF('DATA INPUT'!B64="S. mel",46.162*('DATA INPUT'!F64*'DATA INPUT'!G64)^2.3652/1000,IF('DATA INPUT'!B64="V. ref",90.34*('DATA INPUT'!F64*'DATA INPUT'!G64)^1.9756/1000,IF('DATA INPUT'!B64=1,63.022*('DATA INPUT'!F64*'DATA INPUT'!G64)^2.1551/1000,IF('DATA INPUT'!B64=2,0.0615*('DATA INPUT'!F64*'DATA INPUT'!G64)^0.9573,FALSE)))))</f>
        <v>0</v>
      </c>
      <c r="E60" s="8" t="b">
        <f>IF('DATA INPUT'!B64="T. ser",5.0562*('DATA INPUT'!H64*'DATA INPUT'!I64)^0.9574,IF('DATA INPUT'!B64="S. mel",44047*('DATA INPUT'!H64*'DATA INPUT'!I64)^1.5456/1000,IF('DATA INPUT'!B64="V. ref",91930*('DATA INPUT'!H64*'DATA INPUT'!I64)^1.7774/1000,IF('DATA INPUT'!B64=1,62601*('DATA INPUT'!H64*'DATA INPUT'!I64)^1.6463/1000,IF('DATA INPUT'!B64=2,5.0562*('DATA INPUT'!H64*'DATA INPUT'!I64)^0.9574,FALSE)))))</f>
        <v>0</v>
      </c>
      <c r="F60" s="18" t="b">
        <f>IF('DATA INPUT'!B64="T. ser",0.0009*I60^0.4477,IF('DATA INPUT'!B64="S. mel",0.0000004*I60^1.4912/1000,IF('DATA INPUT'!B64="V. ref",0.00000005*I60^1.6284/1000,IF('DATA INPUT'!B64=1,0.0000007*I60^1.4601/1000,IF('DATA INPUT'!B64=2,0.0009*I60^0.4477,FALSE)))))</f>
        <v>0</v>
      </c>
      <c r="G60" s="57">
        <f t="shared" si="7"/>
        <v>0</v>
      </c>
      <c r="H60" s="57"/>
      <c r="I60" s="2" t="b">
        <f>IF('DATA INPUT'!B64="T. ser",3.142*'DATA INPUT'!N64^2*'DATA INPUT'!O64/3+3.142*'DATA INPUT'!P64^2/3*(3*'DATA INPUT'!N64-'DATA INPUT'!P64),IF('DATA INPUT'!B64="S. mel",3.142*'DATA INPUT'!N64^2*'DATA INPUT'!O64/3+3.142*'DATA INPUT'!P64^2/3*(3*'DATA INPUT'!N64-'DATA INPUT'!P64),IF('DATA INPUT'!B64="V. ref",3.142*'DATA INPUT'!N64^2*'DATA INPUT'!O64/3+3.142*'DATA INPUT'!P64^2/3*(3*'DATA INPUT'!N64-'DATA INPUT'!P64),IF('DATA INPUT'!B64=1,3.142*'DATA INPUT'!N64^2*'DATA INPUT'!O64/3+3.142*'DATA INPUT'!P64^2/3*(3*'DATA INPUT'!N64-'DATA INPUT'!P64),IF('DATA INPUT'!B64=2,3.142*'DATA INPUT'!N64^2*'DATA INPUT'!O64/3+3.142*'DATA INPUT'!P64^2/3*(3*'DATA INPUT'!N64-'DATA INPUT'!P64),FALSE)))))</f>
        <v>0</v>
      </c>
      <c r="J60" s="2" t="b">
        <f>IF('DATA INPUT'!B64="T. ser",0.0458*CALCULATIONS!I60^0.6841,IF('DATA INPUT'!B64="S. mel",0.6047*CALCULATIONS!I60^0.6433,IF('DATA INPUT'!B64="V. ref",0.77086*CALCULATIONS!I60^0.4936,IF('DATA INPUT'!B64=1,0.68778*CALCULATIONS!I60^0.56845,IF('DATA INPUT'!B64=2,0.0458*CALCULATIONS!I60^0.6841,FALSE)))))</f>
        <v>0</v>
      </c>
      <c r="K60" s="3">
        <f t="shared" si="8"/>
        <v>0</v>
      </c>
      <c r="L60" s="3" t="b">
        <f>IF('DATA INPUT'!B64="T. ser",('DATA INPUT'!D64+'DATA INPUT'!F64+'DATA INPUT'!H64+'DATA INPUT'!J64)/1.5,IF('DATA INPUT'!B64="V. ref",('DATA INPUT'!D64+'DATA INPUT'!F64+'DATA INPUT'!H64+'DATA INPUT'!J64)/1.5,IF('DATA INPUT'!B64="S. mel",('DATA INPUT'!D64+'DATA INPUT'!F64+'DATA INPUT'!H64+'DATA INPUT'!J64)/1.5,IF('DATA INPUT'!B64=1,('DATA INPUT'!D64+'DATA INPUT'!F64+'DATA INPUT'!H64+'DATA INPUT'!J64)/1.5,IF('DATA INPUT'!B64=2,('DATA INPUT'!D64+'DATA INPUT'!F64+'DATA INPUT'!H64+'DATA INPUT'!J64)/1.5,FALSE)))))</f>
        <v>0</v>
      </c>
      <c r="N60" s="16">
        <f>'DATA INPUT'!C64</f>
        <v>0</v>
      </c>
      <c r="O60" s="3" t="b">
        <f>IF('DATA INPUT'!B64="T. ser",0.3446*'DATA INPUT'!D64^1.0619,IF('DATA INPUT'!B64="S. mel",(1270.6*'DATA INPUT'!D64^2.0933)/1000,IF('DATA INPUT'!B64="V. ref",(816.25*'DATA INPUT'!D64^2.1754)/1000,IF('DATA INPUT'!B64=1,(1492.4*'DATA INPUT'!D64^1.7591)/1000,IF('DATA INPUT'!B64=2,0.3446*'DATA INPUT'!D64^1.0619,FALSE)))))</f>
        <v>0</v>
      </c>
      <c r="P60" s="3" t="b">
        <f>IF('DATA INPUT'!B64="T. ser",0.3662*'DATA INPUT'!E64^1.5061,IF('DATA INPUT'!B64="S. mel",(748.47*'DATA INPUT'!E64^2.2691)/1000,IF('DATA INPUT'!B64="V. ref",(953.69*'DATA INPUT'!E64^1.9524)/1000,IF('DATA INPUT'!B64=1,(695.02*'DATA INPUT'!E64^2.3452)/1000,IF('DATA INPUT'!B64=2,0.3662*'DATA INPUT'!E64^1.5061,FALSE)))))</f>
        <v>0</v>
      </c>
      <c r="Q60" s="3" t="b">
        <f>IF('DATA INPUT'!B64="T. ser",0.1225*('DATA INPUT'!F64*'DATA INPUT'!G64)^0.8272,IF('DATA INPUT'!B64="S. mel",(925.08*('DATA INPUT'!F64*'DATA INPUT'!G64)^1.1603)/1000,IF('DATA INPUT'!B64="V. ref",(776.29*('DATA INPUT'!F64*'DATA INPUT'!G64)^1.1226)/1000,IF('DATA INPUT'!B64=1,(884.6*('DATA INPUT'!F64*'DATA INPUT'!G64)^1.129)/1000,IF('DATA INPUT'!B64=2,0.1225*('DATA INPUT'!F64*'DATA INPUT'!G64)^0.8272,FALSE)))))</f>
        <v>0</v>
      </c>
      <c r="R60" s="3" t="b">
        <f>IF('DATA INPUT'!B64="T. ser",5.5287*('DATA INPUT'!H64*'DATA INPUT'!I64)^0.8272,IF('DATA INPUT'!B64="S. mel",(31469*('DATA INPUT'!H64*'DATA INPUT'!I64)^0.8608)/1000,IF('DATA INPUT'!B64="V. ref",(39394*('DATA INPUT'!H64*'DATA INPUT'!I64)^1.005)/1000,IF('DATA INPUT'!B64=1,(31791*('DATA INPUT'!H64*'DATA INPUT'!I64)^0.8467)/1000,IF('DATA INPUT'!B64=2,5.5287*('DATA INPUT'!H64*'DATA INPUT'!I64)^0.8272,FALSE)))))</f>
        <v>0</v>
      </c>
      <c r="S60" s="3" t="b">
        <f>IF('DATA INPUT'!B64="T. ser",0.0005*I60^0.5148,IF('DATA INPUT'!B64="S. mel",0.051*I60^0.7789/1000,IF('DATA INPUT'!B64="V. ref",0.0958*I60^0.7253/1000,IF('DATA INPUT'!B64=1,0.0426*I60^0.786/1000,IF('DATA INPUT'!B64=2,0.0005*I60^0.5148,FALSE)))))</f>
        <v>0</v>
      </c>
      <c r="T60" s="59">
        <f t="shared" si="9"/>
        <v>0</v>
      </c>
    </row>
    <row r="61" spans="1:20" x14ac:dyDescent="0.2">
      <c r="A61" s="218">
        <f>'DATA INPUT'!C65</f>
        <v>0</v>
      </c>
      <c r="B61" s="11" t="b">
        <f>IF('DATA INPUT'!B65="T. ser",0.1656*'DATA INPUT'!D65^1.4655,IF('DATA INPUT'!B65="S. mel",135.53*'DATA INPUT'!D65^3.8701/1000,IF('DATA INPUT'!B65="V. ref",143.01*'DATA INPUT'!D65^3.3147/1000,IF('DATA INPUT'!B65=1,143.35*'DATA INPUT'!D65^3.6046/1000,IF('DATA INPUT'!B65=2,0.1656*'DATA INPUT'!D65^1.4655,FALSE)))))</f>
        <v>0</v>
      </c>
      <c r="C61" s="8" t="b">
        <f>IF('DATA INPUT'!B65="T. ser",0.3356*'DATA INPUT'!E65^0.9984,IF('DATA INPUT'!B65="S. mel",24.906*'DATA INPUT'!E65^4.7681/1000,IF('DATA INPUT'!B65="V. ref",118.45*'DATA INPUT'!E65^3.5959/1000,IF('DATA INPUT'!B65=1,55.075*'DATA INPUT'!E65^4.0991/1000,IF('DATA INPUT'!B65=2,0.3356*'DATA INPUT'!E65^0.9984,FALSE)))))</f>
        <v>0</v>
      </c>
      <c r="D61" s="18" t="b">
        <f>IF('DATA INPUT'!B65="T. ser",0.0615*('DATA INPUT'!F65*'DATA INPUT'!G65)^0.9573,IF('DATA INPUT'!B65="S. mel",46.162*('DATA INPUT'!F65*'DATA INPUT'!G65)^2.3652/1000,IF('DATA INPUT'!B65="V. ref",90.34*('DATA INPUT'!F65*'DATA INPUT'!G65)^1.9756/1000,IF('DATA INPUT'!B65=1,63.022*('DATA INPUT'!F65*'DATA INPUT'!G65)^2.1551/1000,IF('DATA INPUT'!B65=2,0.0615*('DATA INPUT'!F65*'DATA INPUT'!G65)^0.9573,FALSE)))))</f>
        <v>0</v>
      </c>
      <c r="E61" s="8" t="b">
        <f>IF('DATA INPUT'!B65="T. ser",5.0562*('DATA INPUT'!H65*'DATA INPUT'!I65)^0.9574,IF('DATA INPUT'!B65="S. mel",44047*('DATA INPUT'!H65*'DATA INPUT'!I65)^1.5456/1000,IF('DATA INPUT'!B65="V. ref",91930*('DATA INPUT'!H65*'DATA INPUT'!I65)^1.7774/1000,IF('DATA INPUT'!B65=1,62601*('DATA INPUT'!H65*'DATA INPUT'!I65)^1.6463/1000,IF('DATA INPUT'!B65=2,5.0562*('DATA INPUT'!H65*'DATA INPUT'!I65)^0.9574,FALSE)))))</f>
        <v>0</v>
      </c>
      <c r="F61" s="18" t="b">
        <f>IF('DATA INPUT'!B65="T. ser",0.0009*I61^0.4477,IF('DATA INPUT'!B65="S. mel",0.0000004*I61^1.4912/1000,IF('DATA INPUT'!B65="V. ref",0.00000005*I61^1.6284/1000,IF('DATA INPUT'!B65=1,0.0000007*I61^1.4601/1000,IF('DATA INPUT'!B65=2,0.0009*I61^0.4477,FALSE)))))</f>
        <v>0</v>
      </c>
      <c r="G61" s="57">
        <f t="shared" si="7"/>
        <v>0</v>
      </c>
      <c r="H61" s="57"/>
      <c r="I61" s="2" t="b">
        <f>IF('DATA INPUT'!B65="T. ser",3.142*'DATA INPUT'!N65^2*'DATA INPUT'!O65/3+3.142*'DATA INPUT'!P65^2/3*(3*'DATA INPUT'!N65-'DATA INPUT'!P65),IF('DATA INPUT'!B65="S. mel",3.142*'DATA INPUT'!N65^2*'DATA INPUT'!O65/3+3.142*'DATA INPUT'!P65^2/3*(3*'DATA INPUT'!N65-'DATA INPUT'!P65),IF('DATA INPUT'!B65="V. ref",3.142*'DATA INPUT'!N65^2*'DATA INPUT'!O65/3+3.142*'DATA INPUT'!P65^2/3*(3*'DATA INPUT'!N65-'DATA INPUT'!P65),IF('DATA INPUT'!B65=1,3.142*'DATA INPUT'!N65^2*'DATA INPUT'!O65/3+3.142*'DATA INPUT'!P65^2/3*(3*'DATA INPUT'!N65-'DATA INPUT'!P65),IF('DATA INPUT'!B65=2,3.142*'DATA INPUT'!N65^2*'DATA INPUT'!O65/3+3.142*'DATA INPUT'!P65^2/3*(3*'DATA INPUT'!N65-'DATA INPUT'!P65),FALSE)))))</f>
        <v>0</v>
      </c>
      <c r="J61" s="2" t="b">
        <f>IF('DATA INPUT'!B65="T. ser",0.0458*CALCULATIONS!I61^0.6841,IF('DATA INPUT'!B65="S. mel",0.6047*CALCULATIONS!I61^0.6433,IF('DATA INPUT'!B65="V. ref",0.77086*CALCULATIONS!I61^0.4936,IF('DATA INPUT'!B65=1,0.68778*CALCULATIONS!I61^0.56845,IF('DATA INPUT'!B65=2,0.0458*CALCULATIONS!I61^0.6841,FALSE)))))</f>
        <v>0</v>
      </c>
      <c r="K61" s="3">
        <f t="shared" si="8"/>
        <v>0</v>
      </c>
      <c r="L61" s="3" t="b">
        <f>IF('DATA INPUT'!B65="T. ser",('DATA INPUT'!D65+'DATA INPUT'!F65+'DATA INPUT'!H65+'DATA INPUT'!J65)/1.5,IF('DATA INPUT'!B65="V. ref",('DATA INPUT'!D65+'DATA INPUT'!F65+'DATA INPUT'!H65+'DATA INPUT'!J65)/1.5,IF('DATA INPUT'!B65="S. mel",('DATA INPUT'!D65+'DATA INPUT'!F65+'DATA INPUT'!H65+'DATA INPUT'!J65)/1.5,IF('DATA INPUT'!B65=1,('DATA INPUT'!D65+'DATA INPUT'!F65+'DATA INPUT'!H65+'DATA INPUT'!J65)/1.5,IF('DATA INPUT'!B65=2,('DATA INPUT'!D65+'DATA INPUT'!F65+'DATA INPUT'!H65+'DATA INPUT'!J65)/1.5,FALSE)))))</f>
        <v>0</v>
      </c>
      <c r="N61" s="16">
        <f>'DATA INPUT'!C65</f>
        <v>0</v>
      </c>
      <c r="O61" s="3" t="b">
        <f>IF('DATA INPUT'!B65="T. ser",0.3446*'DATA INPUT'!D65^1.0619,IF('DATA INPUT'!B65="S. mel",(1270.6*'DATA INPUT'!D65^2.0933)/1000,IF('DATA INPUT'!B65="V. ref",(816.25*'DATA INPUT'!D65^2.1754)/1000,IF('DATA INPUT'!B65=1,(1492.4*'DATA INPUT'!D65^1.7591)/1000,IF('DATA INPUT'!B65=2,0.3446*'DATA INPUT'!D65^1.0619,FALSE)))))</f>
        <v>0</v>
      </c>
      <c r="P61" s="3" t="b">
        <f>IF('DATA INPUT'!B65="T. ser",0.3662*'DATA INPUT'!E65^1.5061,IF('DATA INPUT'!B65="S. mel",(748.47*'DATA INPUT'!E65^2.2691)/1000,IF('DATA INPUT'!B65="V. ref",(953.69*'DATA INPUT'!E65^1.9524)/1000,IF('DATA INPUT'!B65=1,(695.02*'DATA INPUT'!E65^2.3452)/1000,IF('DATA INPUT'!B65=2,0.3662*'DATA INPUT'!E65^1.5061,FALSE)))))</f>
        <v>0</v>
      </c>
      <c r="Q61" s="3" t="b">
        <f>IF('DATA INPUT'!B65="T. ser",0.1225*('DATA INPUT'!F65*'DATA INPUT'!G65)^0.8272,IF('DATA INPUT'!B65="S. mel",(925.08*('DATA INPUT'!F65*'DATA INPUT'!G65)^1.1603)/1000,IF('DATA INPUT'!B65="V. ref",(776.29*('DATA INPUT'!F65*'DATA INPUT'!G65)^1.1226)/1000,IF('DATA INPUT'!B65=1,(884.6*('DATA INPUT'!F65*'DATA INPUT'!G65)^1.129)/1000,IF('DATA INPUT'!B65=2,0.1225*('DATA INPUT'!F65*'DATA INPUT'!G65)^0.8272,FALSE)))))</f>
        <v>0</v>
      </c>
      <c r="R61" s="3" t="b">
        <f>IF('DATA INPUT'!B65="T. ser",5.5287*('DATA INPUT'!H65*'DATA INPUT'!I65)^0.8272,IF('DATA INPUT'!B65="S. mel",(31469*('DATA INPUT'!H65*'DATA INPUT'!I65)^0.8608)/1000,IF('DATA INPUT'!B65="V. ref",(39394*('DATA INPUT'!H65*'DATA INPUT'!I65)^1.005)/1000,IF('DATA INPUT'!B65=1,(31791*('DATA INPUT'!H65*'DATA INPUT'!I65)^0.8467)/1000,IF('DATA INPUT'!B65=2,5.5287*('DATA INPUT'!H65*'DATA INPUT'!I65)^0.8272,FALSE)))))</f>
        <v>0</v>
      </c>
      <c r="S61" s="3" t="b">
        <f>IF('DATA INPUT'!B65="T. ser",0.0005*I61^0.5148,IF('DATA INPUT'!B65="S. mel",0.051*I61^0.7789/1000,IF('DATA INPUT'!B65="V. ref",0.0958*I61^0.7253/1000,IF('DATA INPUT'!B65=1,0.0426*I61^0.786/1000,IF('DATA INPUT'!B65=2,0.0005*I61^0.5148,FALSE)))))</f>
        <v>0</v>
      </c>
      <c r="T61" s="59">
        <f t="shared" si="9"/>
        <v>0</v>
      </c>
    </row>
    <row r="62" spans="1:20" x14ac:dyDescent="0.2">
      <c r="A62" s="218">
        <f>'DATA INPUT'!C66</f>
        <v>0</v>
      </c>
      <c r="B62" s="11" t="b">
        <f>IF('DATA INPUT'!B66="T. ser",0.1656*'DATA INPUT'!D66^1.4655,IF('DATA INPUT'!B66="S. mel",135.53*'DATA INPUT'!D66^3.8701/1000,IF('DATA INPUT'!B66="V. ref",143.01*'DATA INPUT'!D66^3.3147/1000,IF('DATA INPUT'!B66=1,143.35*'DATA INPUT'!D66^3.6046/1000,IF('DATA INPUT'!B66=2,0.1656*'DATA INPUT'!D66^1.4655,FALSE)))))</f>
        <v>0</v>
      </c>
      <c r="C62" s="8" t="b">
        <f>IF('DATA INPUT'!B66="T. ser",0.3356*'DATA INPUT'!E66^0.9984,IF('DATA INPUT'!B66="S. mel",24.906*'DATA INPUT'!E66^4.7681/1000,IF('DATA INPUT'!B66="V. ref",118.45*'DATA INPUT'!E66^3.5959/1000,IF('DATA INPUT'!B66=1,55.075*'DATA INPUT'!E66^4.0991/1000,IF('DATA INPUT'!B66=2,0.3356*'DATA INPUT'!E66^0.9984,FALSE)))))</f>
        <v>0</v>
      </c>
      <c r="D62" s="18" t="b">
        <f>IF('DATA INPUT'!B66="T. ser",0.0615*('DATA INPUT'!F66*'DATA INPUT'!G66)^0.9573,IF('DATA INPUT'!B66="S. mel",46.162*('DATA INPUT'!F66*'DATA INPUT'!G66)^2.3652/1000,IF('DATA INPUT'!B66="V. ref",90.34*('DATA INPUT'!F66*'DATA INPUT'!G66)^1.9756/1000,IF('DATA INPUT'!B66=1,63.022*('DATA INPUT'!F66*'DATA INPUT'!G66)^2.1551/1000,IF('DATA INPUT'!B66=2,0.0615*('DATA INPUT'!F66*'DATA INPUT'!G66)^0.9573,FALSE)))))</f>
        <v>0</v>
      </c>
      <c r="E62" s="8" t="b">
        <f>IF('DATA INPUT'!B66="T. ser",5.0562*('DATA INPUT'!H66*'DATA INPUT'!I66)^0.9574,IF('DATA INPUT'!B66="S. mel",44047*('DATA INPUT'!H66*'DATA INPUT'!I66)^1.5456/1000,IF('DATA INPUT'!B66="V. ref",91930*('DATA INPUT'!H66*'DATA INPUT'!I66)^1.7774/1000,IF('DATA INPUT'!B66=1,62601*('DATA INPUT'!H66*'DATA INPUT'!I66)^1.6463/1000,IF('DATA INPUT'!B66=2,5.0562*('DATA INPUT'!H66*'DATA INPUT'!I66)^0.9574,FALSE)))))</f>
        <v>0</v>
      </c>
      <c r="F62" s="18" t="b">
        <f>IF('DATA INPUT'!B66="T. ser",0.0009*I62^0.4477,IF('DATA INPUT'!B66="S. mel",0.0000004*I62^1.4912/1000,IF('DATA INPUT'!B66="V. ref",0.00000005*I62^1.6284/1000,IF('DATA INPUT'!B66=1,0.0000007*I62^1.4601/1000,IF('DATA INPUT'!B66=2,0.0009*I62^0.4477,FALSE)))))</f>
        <v>0</v>
      </c>
      <c r="G62" s="57">
        <f t="shared" si="7"/>
        <v>0</v>
      </c>
      <c r="H62" s="57"/>
      <c r="I62" s="2" t="b">
        <f>IF('DATA INPUT'!B66="T. ser",3.142*'DATA INPUT'!N66^2*'DATA INPUT'!O66/3+3.142*'DATA INPUT'!P66^2/3*(3*'DATA INPUT'!N66-'DATA INPUT'!P66),IF('DATA INPUT'!B66="S. mel",3.142*'DATA INPUT'!N66^2*'DATA INPUT'!O66/3+3.142*'DATA INPUT'!P66^2/3*(3*'DATA INPUT'!N66-'DATA INPUT'!P66),IF('DATA INPUT'!B66="V. ref",3.142*'DATA INPUT'!N66^2*'DATA INPUT'!O66/3+3.142*'DATA INPUT'!P66^2/3*(3*'DATA INPUT'!N66-'DATA INPUT'!P66),IF('DATA INPUT'!B66=1,3.142*'DATA INPUT'!N66^2*'DATA INPUT'!O66/3+3.142*'DATA INPUT'!P66^2/3*(3*'DATA INPUT'!N66-'DATA INPUT'!P66),IF('DATA INPUT'!B66=2,3.142*'DATA INPUT'!N66^2*'DATA INPUT'!O66/3+3.142*'DATA INPUT'!P66^2/3*(3*'DATA INPUT'!N66-'DATA INPUT'!P66),FALSE)))))</f>
        <v>0</v>
      </c>
      <c r="J62" s="2" t="b">
        <f>IF('DATA INPUT'!B66="T. ser",0.0458*CALCULATIONS!I62^0.6841,IF('DATA INPUT'!B66="S. mel",0.6047*CALCULATIONS!I62^0.6433,IF('DATA INPUT'!B66="V. ref",0.77086*CALCULATIONS!I62^0.4936,IF('DATA INPUT'!B66=1,0.68778*CALCULATIONS!I62^0.56845,IF('DATA INPUT'!B66=2,0.0458*CALCULATIONS!I62^0.6841,FALSE)))))</f>
        <v>0</v>
      </c>
      <c r="K62" s="3">
        <f t="shared" si="8"/>
        <v>0</v>
      </c>
      <c r="L62" s="3" t="b">
        <f>IF('DATA INPUT'!B66="T. ser",('DATA INPUT'!D66+'DATA INPUT'!F66+'DATA INPUT'!H66+'DATA INPUT'!J66)/1.5,IF('DATA INPUT'!B66="V. ref",('DATA INPUT'!D66+'DATA INPUT'!F66+'DATA INPUT'!H66+'DATA INPUT'!J66)/1.5,IF('DATA INPUT'!B66="S. mel",('DATA INPUT'!D66+'DATA INPUT'!F66+'DATA INPUT'!H66+'DATA INPUT'!J66)/1.5,IF('DATA INPUT'!B66=1,('DATA INPUT'!D66+'DATA INPUT'!F66+'DATA INPUT'!H66+'DATA INPUT'!J66)/1.5,IF('DATA INPUT'!B66=2,('DATA INPUT'!D66+'DATA INPUT'!F66+'DATA INPUT'!H66+'DATA INPUT'!J66)/1.5,FALSE)))))</f>
        <v>0</v>
      </c>
      <c r="N62" s="16">
        <f>'DATA INPUT'!C66</f>
        <v>0</v>
      </c>
      <c r="O62" s="3" t="b">
        <f>IF('DATA INPUT'!B66="T. ser",0.3446*'DATA INPUT'!D66^1.0619,IF('DATA INPUT'!B66="S. mel",(1270.6*'DATA INPUT'!D66^2.0933)/1000,IF('DATA INPUT'!B66="V. ref",(816.25*'DATA INPUT'!D66^2.1754)/1000,IF('DATA INPUT'!B66=1,(1492.4*'DATA INPUT'!D66^1.7591)/1000,IF('DATA INPUT'!B66=2,0.3446*'DATA INPUT'!D66^1.0619,FALSE)))))</f>
        <v>0</v>
      </c>
      <c r="P62" s="3" t="b">
        <f>IF('DATA INPUT'!B66="T. ser",0.3662*'DATA INPUT'!E66^1.5061,IF('DATA INPUT'!B66="S. mel",(748.47*'DATA INPUT'!E66^2.2691)/1000,IF('DATA INPUT'!B66="V. ref",(953.69*'DATA INPUT'!E66^1.9524)/1000,IF('DATA INPUT'!B66=1,(695.02*'DATA INPUT'!E66^2.3452)/1000,IF('DATA INPUT'!B66=2,0.3662*'DATA INPUT'!E66^1.5061,FALSE)))))</f>
        <v>0</v>
      </c>
      <c r="Q62" s="3" t="b">
        <f>IF('DATA INPUT'!B66="T. ser",0.1225*('DATA INPUT'!F66*'DATA INPUT'!G66)^0.8272,IF('DATA INPUT'!B66="S. mel",(925.08*('DATA INPUT'!F66*'DATA INPUT'!G66)^1.1603)/1000,IF('DATA INPUT'!B66="V. ref",(776.29*('DATA INPUT'!F66*'DATA INPUT'!G66)^1.1226)/1000,IF('DATA INPUT'!B66=1,(884.6*('DATA INPUT'!F66*'DATA INPUT'!G66)^1.129)/1000,IF('DATA INPUT'!B66=2,0.1225*('DATA INPUT'!F66*'DATA INPUT'!G66)^0.8272,FALSE)))))</f>
        <v>0</v>
      </c>
      <c r="R62" s="3" t="b">
        <f>IF('DATA INPUT'!B66="T. ser",5.5287*('DATA INPUT'!H66*'DATA INPUT'!I66)^0.8272,IF('DATA INPUT'!B66="S. mel",(31469*('DATA INPUT'!H66*'DATA INPUT'!I66)^0.8608)/1000,IF('DATA INPUT'!B66="V. ref",(39394*('DATA INPUT'!H66*'DATA INPUT'!I66)^1.005)/1000,IF('DATA INPUT'!B66=1,(31791*('DATA INPUT'!H66*'DATA INPUT'!I66)^0.8467)/1000,IF('DATA INPUT'!B66=2,5.5287*('DATA INPUT'!H66*'DATA INPUT'!I66)^0.8272,FALSE)))))</f>
        <v>0</v>
      </c>
      <c r="S62" s="3" t="b">
        <f>IF('DATA INPUT'!B66="T. ser",0.0005*I62^0.5148,IF('DATA INPUT'!B66="S. mel",0.051*I62^0.7789/1000,IF('DATA INPUT'!B66="V. ref",0.0958*I62^0.7253/1000,IF('DATA INPUT'!B66=1,0.0426*I62^0.786/1000,IF('DATA INPUT'!B66=2,0.0005*I62^0.5148,FALSE)))))</f>
        <v>0</v>
      </c>
      <c r="T62" s="59">
        <f t="shared" si="9"/>
        <v>0</v>
      </c>
    </row>
    <row r="63" spans="1:20" x14ac:dyDescent="0.2">
      <c r="A63" s="218">
        <f>'DATA INPUT'!C67</f>
        <v>0</v>
      </c>
      <c r="B63" s="11" t="b">
        <f>IF('DATA INPUT'!B67="T. ser",0.1656*'DATA INPUT'!D67^1.4655,IF('DATA INPUT'!B67="S. mel",135.53*'DATA INPUT'!D67^3.8701/1000,IF('DATA INPUT'!B67="V. ref",143.01*'DATA INPUT'!D67^3.3147/1000,IF('DATA INPUT'!B67=1,143.35*'DATA INPUT'!D67^3.6046/1000,IF('DATA INPUT'!B67=2,0.1656*'DATA INPUT'!D67^1.4655,FALSE)))))</f>
        <v>0</v>
      </c>
      <c r="C63" s="8" t="b">
        <f>IF('DATA INPUT'!B67="T. ser",0.3356*'DATA INPUT'!E67^0.9984,IF('DATA INPUT'!B67="S. mel",24.906*'DATA INPUT'!E67^4.7681/1000,IF('DATA INPUT'!B67="V. ref",118.45*'DATA INPUT'!E67^3.5959/1000,IF('DATA INPUT'!B67=1,55.075*'DATA INPUT'!E67^4.0991/1000,IF('DATA INPUT'!B67=2,0.3356*'DATA INPUT'!E67^0.9984,FALSE)))))</f>
        <v>0</v>
      </c>
      <c r="D63" s="18" t="b">
        <f>IF('DATA INPUT'!B67="T. ser",0.0615*('DATA INPUT'!F67*'DATA INPUT'!G67)^0.9573,IF('DATA INPUT'!B67="S. mel",46.162*('DATA INPUT'!F67*'DATA INPUT'!G67)^2.3652/1000,IF('DATA INPUT'!B67="V. ref",90.34*('DATA INPUT'!F67*'DATA INPUT'!G67)^1.9756/1000,IF('DATA INPUT'!B67=1,63.022*('DATA INPUT'!F67*'DATA INPUT'!G67)^2.1551/1000,IF('DATA INPUT'!B67=2,0.0615*('DATA INPUT'!F67*'DATA INPUT'!G67)^0.9573,FALSE)))))</f>
        <v>0</v>
      </c>
      <c r="E63" s="8" t="b">
        <f>IF('DATA INPUT'!B67="T. ser",5.0562*('DATA INPUT'!H67*'DATA INPUT'!I67)^0.9574,IF('DATA INPUT'!B67="S. mel",44047*('DATA INPUT'!H67*'DATA INPUT'!I67)^1.5456/1000,IF('DATA INPUT'!B67="V. ref",91930*('DATA INPUT'!H67*'DATA INPUT'!I67)^1.7774/1000,IF('DATA INPUT'!B67=1,62601*('DATA INPUT'!H67*'DATA INPUT'!I67)^1.6463/1000,IF('DATA INPUT'!B67=2,5.0562*('DATA INPUT'!H67*'DATA INPUT'!I67)^0.9574,FALSE)))))</f>
        <v>0</v>
      </c>
      <c r="F63" s="18" t="b">
        <f>IF('DATA INPUT'!B67="T. ser",0.0009*I63^0.4477,IF('DATA INPUT'!B67="S. mel",0.0000004*I63^1.4912/1000,IF('DATA INPUT'!B67="V. ref",0.00000005*I63^1.6284/1000,IF('DATA INPUT'!B67=1,0.0000007*I63^1.4601/1000,IF('DATA INPUT'!B67=2,0.0009*I63^0.4477,FALSE)))))</f>
        <v>0</v>
      </c>
      <c r="G63" s="57">
        <f t="shared" si="7"/>
        <v>0</v>
      </c>
      <c r="H63" s="57"/>
      <c r="I63" s="2" t="b">
        <f>IF('DATA INPUT'!B67="T. ser",3.142*'DATA INPUT'!N67^2*'DATA INPUT'!O67/3+3.142*'DATA INPUT'!P67^2/3*(3*'DATA INPUT'!N67-'DATA INPUT'!P67),IF('DATA INPUT'!B67="S. mel",3.142*'DATA INPUT'!N67^2*'DATA INPUT'!O67/3+3.142*'DATA INPUT'!P67^2/3*(3*'DATA INPUT'!N67-'DATA INPUT'!P67),IF('DATA INPUT'!B67="V. ref",3.142*'DATA INPUT'!N67^2*'DATA INPUT'!O67/3+3.142*'DATA INPUT'!P67^2/3*(3*'DATA INPUT'!N67-'DATA INPUT'!P67),IF('DATA INPUT'!B67=1,3.142*'DATA INPUT'!N67^2*'DATA INPUT'!O67/3+3.142*'DATA INPUT'!P67^2/3*(3*'DATA INPUT'!N67-'DATA INPUT'!P67),IF('DATA INPUT'!B67=2,3.142*'DATA INPUT'!N67^2*'DATA INPUT'!O67/3+3.142*'DATA INPUT'!P67^2/3*(3*'DATA INPUT'!N67-'DATA INPUT'!P67),FALSE)))))</f>
        <v>0</v>
      </c>
      <c r="J63" s="2" t="b">
        <f>IF('DATA INPUT'!B67="T. ser",0.0458*CALCULATIONS!I63^0.6841,IF('DATA INPUT'!B67="S. mel",0.6047*CALCULATIONS!I63^0.6433,IF('DATA INPUT'!B67="V. ref",0.77086*CALCULATIONS!I63^0.4936,IF('DATA INPUT'!B67=1,0.68778*CALCULATIONS!I63^0.56845,IF('DATA INPUT'!B67=2,0.0458*CALCULATIONS!I63^0.6841,FALSE)))))</f>
        <v>0</v>
      </c>
      <c r="K63" s="3">
        <f t="shared" si="8"/>
        <v>0</v>
      </c>
      <c r="L63" s="3" t="b">
        <f>IF('DATA INPUT'!B67="T. ser",('DATA INPUT'!D67+'DATA INPUT'!F67+'DATA INPUT'!H67+'DATA INPUT'!J67)/1.5,IF('DATA INPUT'!B67="V. ref",('DATA INPUT'!D67+'DATA INPUT'!F67+'DATA INPUT'!H67+'DATA INPUT'!J67)/1.5,IF('DATA INPUT'!B67="S. mel",('DATA INPUT'!D67+'DATA INPUT'!F67+'DATA INPUT'!H67+'DATA INPUT'!J67)/1.5,IF('DATA INPUT'!B67=1,('DATA INPUT'!D67+'DATA INPUT'!F67+'DATA INPUT'!H67+'DATA INPUT'!J67)/1.5,IF('DATA INPUT'!B67=2,('DATA INPUT'!D67+'DATA INPUT'!F67+'DATA INPUT'!H67+'DATA INPUT'!J67)/1.5,FALSE)))))</f>
        <v>0</v>
      </c>
      <c r="N63" s="16">
        <f>'DATA INPUT'!C67</f>
        <v>0</v>
      </c>
      <c r="O63" s="3" t="b">
        <f>IF('DATA INPUT'!B67="T. ser",0.3446*'DATA INPUT'!D67^1.0619,IF('DATA INPUT'!B67="S. mel",(1270.6*'DATA INPUT'!D67^2.0933)/1000,IF('DATA INPUT'!B67="V. ref",(816.25*'DATA INPUT'!D67^2.1754)/1000,IF('DATA INPUT'!B67=1,(1492.4*'DATA INPUT'!D67^1.7591)/1000,IF('DATA INPUT'!B67=2,0.3446*'DATA INPUT'!D67^1.0619,FALSE)))))</f>
        <v>0</v>
      </c>
      <c r="P63" s="3" t="b">
        <f>IF('DATA INPUT'!B67="T. ser",0.3662*'DATA INPUT'!E67^1.5061,IF('DATA INPUT'!B67="S. mel",(748.47*'DATA INPUT'!E67^2.2691)/1000,IF('DATA INPUT'!B67="V. ref",(953.69*'DATA INPUT'!E67^1.9524)/1000,IF('DATA INPUT'!B67=1,(695.02*'DATA INPUT'!E67^2.3452)/1000,IF('DATA INPUT'!B67=2,0.3662*'DATA INPUT'!E67^1.5061,FALSE)))))</f>
        <v>0</v>
      </c>
      <c r="Q63" s="3" t="b">
        <f>IF('DATA INPUT'!B67="T. ser",0.1225*('DATA INPUT'!F67*'DATA INPUT'!G67)^0.8272,IF('DATA INPUT'!B67="S. mel",(925.08*('DATA INPUT'!F67*'DATA INPUT'!G67)^1.1603)/1000,IF('DATA INPUT'!B67="V. ref",(776.29*('DATA INPUT'!F67*'DATA INPUT'!G67)^1.1226)/1000,IF('DATA INPUT'!B67=1,(884.6*('DATA INPUT'!F67*'DATA INPUT'!G67)^1.129)/1000,IF('DATA INPUT'!B67=2,0.1225*('DATA INPUT'!F67*'DATA INPUT'!G67)^0.8272,FALSE)))))</f>
        <v>0</v>
      </c>
      <c r="R63" s="3" t="b">
        <f>IF('DATA INPUT'!B67="T. ser",5.5287*('DATA INPUT'!H67*'DATA INPUT'!I67)^0.8272,IF('DATA INPUT'!B67="S. mel",(31469*('DATA INPUT'!H67*'DATA INPUT'!I67)^0.8608)/1000,IF('DATA INPUT'!B67="V. ref",(39394*('DATA INPUT'!H67*'DATA INPUT'!I67)^1.005)/1000,IF('DATA INPUT'!B67=1,(31791*('DATA INPUT'!H67*'DATA INPUT'!I67)^0.8467)/1000,IF('DATA INPUT'!B67=2,5.5287*('DATA INPUT'!H67*'DATA INPUT'!I67)^0.8272,FALSE)))))</f>
        <v>0</v>
      </c>
      <c r="S63" s="3" t="b">
        <f>IF('DATA INPUT'!B67="T. ser",0.0005*I63^0.5148,IF('DATA INPUT'!B67="S. mel",0.051*I63^0.7789/1000,IF('DATA INPUT'!B67="V. ref",0.0958*I63^0.7253/1000,IF('DATA INPUT'!B67=1,0.0426*I63^0.786/1000,IF('DATA INPUT'!B67=2,0.0005*I63^0.5148,FALSE)))))</f>
        <v>0</v>
      </c>
      <c r="T63" s="59">
        <f t="shared" si="9"/>
        <v>0</v>
      </c>
    </row>
    <row r="64" spans="1:20" x14ac:dyDescent="0.2">
      <c r="A64" s="218">
        <f>'DATA INPUT'!C68</f>
        <v>0</v>
      </c>
      <c r="B64" s="11" t="b">
        <f>IF('DATA INPUT'!B68="T. ser",0.1656*'DATA INPUT'!D68^1.4655,IF('DATA INPUT'!B68="S. mel",135.53*'DATA INPUT'!D68^3.8701/1000,IF('DATA INPUT'!B68="V. ref",143.01*'DATA INPUT'!D68^3.3147/1000,IF('DATA INPUT'!B68=1,143.35*'DATA INPUT'!D68^3.6046/1000,IF('DATA INPUT'!B68=2,0.1656*'DATA INPUT'!D68^1.4655,FALSE)))))</f>
        <v>0</v>
      </c>
      <c r="C64" s="8" t="b">
        <f>IF('DATA INPUT'!B68="T. ser",0.3356*'DATA INPUT'!E68^0.9984,IF('DATA INPUT'!B68="S. mel",24.906*'DATA INPUT'!E68^4.7681/1000,IF('DATA INPUT'!B68="V. ref",118.45*'DATA INPUT'!E68^3.5959/1000,IF('DATA INPUT'!B68=1,55.075*'DATA INPUT'!E68^4.0991/1000,IF('DATA INPUT'!B68=2,0.3356*'DATA INPUT'!E68^0.9984,FALSE)))))</f>
        <v>0</v>
      </c>
      <c r="D64" s="18" t="b">
        <f>IF('DATA INPUT'!B68="T. ser",0.0615*('DATA INPUT'!F68*'DATA INPUT'!G68)^0.9573,IF('DATA INPUT'!B68="S. mel",46.162*('DATA INPUT'!F68*'DATA INPUT'!G68)^2.3652/1000,IF('DATA INPUT'!B68="V. ref",90.34*('DATA INPUT'!F68*'DATA INPUT'!G68)^1.9756/1000,IF('DATA INPUT'!B68=1,63.022*('DATA INPUT'!F68*'DATA INPUT'!G68)^2.1551/1000,IF('DATA INPUT'!B68=2,0.0615*('DATA INPUT'!F68*'DATA INPUT'!G68)^0.9573,FALSE)))))</f>
        <v>0</v>
      </c>
      <c r="E64" s="8" t="b">
        <f>IF('DATA INPUT'!B68="T. ser",5.0562*('DATA INPUT'!H68*'DATA INPUT'!I68)^0.9574,IF('DATA INPUT'!B68="S. mel",44047*('DATA INPUT'!H68*'DATA INPUT'!I68)^1.5456/1000,IF('DATA INPUT'!B68="V. ref",91930*('DATA INPUT'!H68*'DATA INPUT'!I68)^1.7774/1000,IF('DATA INPUT'!B68=1,62601*('DATA INPUT'!H68*'DATA INPUT'!I68)^1.6463/1000,IF('DATA INPUT'!B68=2,5.0562*('DATA INPUT'!H68*'DATA INPUT'!I68)^0.9574,FALSE)))))</f>
        <v>0</v>
      </c>
      <c r="F64" s="18" t="b">
        <f>IF('DATA INPUT'!B68="T. ser",0.0009*I64^0.4477,IF('DATA INPUT'!B68="S. mel",0.0000004*I64^1.4912/1000,IF('DATA INPUT'!B68="V. ref",0.00000005*I64^1.6284/1000,IF('DATA INPUT'!B68=1,0.0000007*I64^1.4601/1000,IF('DATA INPUT'!B68=2,0.0009*I64^0.4477,FALSE)))))</f>
        <v>0</v>
      </c>
      <c r="G64" s="57">
        <f t="shared" ref="G64:G109" si="10">SUM(B64:F64)</f>
        <v>0</v>
      </c>
      <c r="H64" s="57"/>
      <c r="I64" s="2" t="b">
        <f>IF('DATA INPUT'!B68="T. ser",3.142*'DATA INPUT'!N68^2*'DATA INPUT'!O68/3+3.142*'DATA INPUT'!P68^2/3*(3*'DATA INPUT'!N68-'DATA INPUT'!P68),IF('DATA INPUT'!B68="S. mel",3.142*'DATA INPUT'!N68^2*'DATA INPUT'!O68/3+3.142*'DATA INPUT'!P68^2/3*(3*'DATA INPUT'!N68-'DATA INPUT'!P68),IF('DATA INPUT'!B68="V. ref",3.142*'DATA INPUT'!N68^2*'DATA INPUT'!O68/3+3.142*'DATA INPUT'!P68^2/3*(3*'DATA INPUT'!N68-'DATA INPUT'!P68),IF('DATA INPUT'!B68=1,3.142*'DATA INPUT'!N68^2*'DATA INPUT'!O68/3+3.142*'DATA INPUT'!P68^2/3*(3*'DATA INPUT'!N68-'DATA INPUT'!P68),IF('DATA INPUT'!B68=2,3.142*'DATA INPUT'!N68^2*'DATA INPUT'!O68/3+3.142*'DATA INPUT'!P68^2/3*(3*'DATA INPUT'!N68-'DATA INPUT'!P68),FALSE)))))</f>
        <v>0</v>
      </c>
      <c r="J64" s="2" t="b">
        <f>IF('DATA INPUT'!B68="T. ser",0.0458*CALCULATIONS!I64^0.6841,IF('DATA INPUT'!B68="S. mel",0.6047*CALCULATIONS!I64^0.6433,IF('DATA INPUT'!B68="V. ref",0.77086*CALCULATIONS!I64^0.4936,IF('DATA INPUT'!B68=1,0.68778*CALCULATIONS!I64^0.56845,IF('DATA INPUT'!B68=2,0.0458*CALCULATIONS!I64^0.6841,FALSE)))))</f>
        <v>0</v>
      </c>
      <c r="K64" s="3">
        <f t="shared" si="8"/>
        <v>0</v>
      </c>
      <c r="L64" s="3" t="b">
        <f>IF('DATA INPUT'!B68="T. ser",('DATA INPUT'!D68+'DATA INPUT'!F68+'DATA INPUT'!H68+'DATA INPUT'!J68)/1.5,IF('DATA INPUT'!B68="V. ref",('DATA INPUT'!D68+'DATA INPUT'!F68+'DATA INPUT'!H68+'DATA INPUT'!J68)/1.5,IF('DATA INPUT'!B68="S. mel",('DATA INPUT'!D68+'DATA INPUT'!F68+'DATA INPUT'!H68+'DATA INPUT'!J68)/1.5,IF('DATA INPUT'!B68=1,('DATA INPUT'!D68+'DATA INPUT'!F68+'DATA INPUT'!H68+'DATA INPUT'!J68)/1.5,IF('DATA INPUT'!B68=2,('DATA INPUT'!D68+'DATA INPUT'!F68+'DATA INPUT'!H68+'DATA INPUT'!J68)/1.5,FALSE)))))</f>
        <v>0</v>
      </c>
      <c r="N64" s="16">
        <f>'DATA INPUT'!C68</f>
        <v>0</v>
      </c>
      <c r="O64" s="3" t="b">
        <f>IF('DATA INPUT'!B68="T. ser",0.3446*'DATA INPUT'!D68^1.0619,IF('DATA INPUT'!B68="S. mel",(1270.6*'DATA INPUT'!D68^2.0933)/1000,IF('DATA INPUT'!B68="V. ref",(816.25*'DATA INPUT'!D68^2.1754)/1000,IF('DATA INPUT'!B68=1,(1492.4*'DATA INPUT'!D68^1.7591)/1000,IF('DATA INPUT'!B68=2,0.3446*'DATA INPUT'!D68^1.0619,FALSE)))))</f>
        <v>0</v>
      </c>
      <c r="P64" s="3" t="b">
        <f>IF('DATA INPUT'!B68="T. ser",0.3662*'DATA INPUT'!E68^1.5061,IF('DATA INPUT'!B68="S. mel",(748.47*'DATA INPUT'!E68^2.2691)/1000,IF('DATA INPUT'!B68="V. ref",(953.69*'DATA INPUT'!E68^1.9524)/1000,IF('DATA INPUT'!B68=1,(695.02*'DATA INPUT'!E68^2.3452)/1000,IF('DATA INPUT'!B68=2,0.3662*'DATA INPUT'!E68^1.5061,FALSE)))))</f>
        <v>0</v>
      </c>
      <c r="Q64" s="3" t="b">
        <f>IF('DATA INPUT'!B68="T. ser",0.1225*('DATA INPUT'!F68*'DATA INPUT'!G68)^0.8272,IF('DATA INPUT'!B68="S. mel",(925.08*('DATA INPUT'!F68*'DATA INPUT'!G68)^1.1603)/1000,IF('DATA INPUT'!B68="V. ref",(776.29*('DATA INPUT'!F68*'DATA INPUT'!G68)^1.1226)/1000,IF('DATA INPUT'!B68=1,(884.6*('DATA INPUT'!F68*'DATA INPUT'!G68)^1.129)/1000,IF('DATA INPUT'!B68=2,0.1225*('DATA INPUT'!F68*'DATA INPUT'!G68)^0.8272,FALSE)))))</f>
        <v>0</v>
      </c>
      <c r="R64" s="3" t="b">
        <f>IF('DATA INPUT'!B68="T. ser",5.5287*('DATA INPUT'!H68*'DATA INPUT'!I68)^0.8272,IF('DATA INPUT'!B68="S. mel",(31469*('DATA INPUT'!H68*'DATA INPUT'!I68)^0.8608)/1000,IF('DATA INPUT'!B68="V. ref",(39394*('DATA INPUT'!H68*'DATA INPUT'!I68)^1.005)/1000,IF('DATA INPUT'!B68=1,(31791*('DATA INPUT'!H68*'DATA INPUT'!I68)^0.8467)/1000,IF('DATA INPUT'!B68=2,5.5287*('DATA INPUT'!H68*'DATA INPUT'!I68)^0.8272,FALSE)))))</f>
        <v>0</v>
      </c>
      <c r="S64" s="3" t="b">
        <f>IF('DATA INPUT'!B68="T. ser",0.0005*I64^0.5148,IF('DATA INPUT'!B68="S. mel",0.051*I64^0.7789/1000,IF('DATA INPUT'!B68="V. ref",0.0958*I64^0.7253/1000,IF('DATA INPUT'!B68=1,0.0426*I64^0.786/1000,IF('DATA INPUT'!B68=2,0.0005*I64^0.5148,FALSE)))))</f>
        <v>0</v>
      </c>
      <c r="T64" s="59">
        <f t="shared" si="9"/>
        <v>0</v>
      </c>
    </row>
    <row r="65" spans="1:20" x14ac:dyDescent="0.2">
      <c r="A65" s="218">
        <f>'DATA INPUT'!C69</f>
        <v>0</v>
      </c>
      <c r="B65" s="11" t="b">
        <f>IF('DATA INPUT'!B69="T. ser",0.1656*'DATA INPUT'!D69^1.4655,IF('DATA INPUT'!B69="S. mel",135.53*'DATA INPUT'!D69^3.8701/1000,IF('DATA INPUT'!B69="V. ref",143.01*'DATA INPUT'!D69^3.3147/1000,IF('DATA INPUT'!B69=1,143.35*'DATA INPUT'!D69^3.6046/1000,IF('DATA INPUT'!B69=2,0.1656*'DATA INPUT'!D69^1.4655,FALSE)))))</f>
        <v>0</v>
      </c>
      <c r="C65" s="8" t="b">
        <f>IF('DATA INPUT'!B69="T. ser",0.3356*'DATA INPUT'!E69^0.9984,IF('DATA INPUT'!B69="S. mel",24.906*'DATA INPUT'!E69^4.7681/1000,IF('DATA INPUT'!B69="V. ref",118.45*'DATA INPUT'!E69^3.5959/1000,IF('DATA INPUT'!B69=1,55.075*'DATA INPUT'!E69^4.0991/1000,IF('DATA INPUT'!B69=2,0.3356*'DATA INPUT'!E69^0.9984,FALSE)))))</f>
        <v>0</v>
      </c>
      <c r="D65" s="18" t="b">
        <f>IF('DATA INPUT'!B69="T. ser",0.0615*('DATA INPUT'!F69*'DATA INPUT'!G69)^0.9573,IF('DATA INPUT'!B69="S. mel",46.162*('DATA INPUT'!F69*'DATA INPUT'!G69)^2.3652/1000,IF('DATA INPUT'!B69="V. ref",90.34*('DATA INPUT'!F69*'DATA INPUT'!G69)^1.9756/1000,IF('DATA INPUT'!B69=1,63.022*('DATA INPUT'!F69*'DATA INPUT'!G69)^2.1551/1000,IF('DATA INPUT'!B69=2,0.0615*('DATA INPUT'!F69*'DATA INPUT'!G69)^0.9573,FALSE)))))</f>
        <v>0</v>
      </c>
      <c r="E65" s="8" t="b">
        <f>IF('DATA INPUT'!B69="T. ser",5.0562*('DATA INPUT'!H69*'DATA INPUT'!I69)^0.9574,IF('DATA INPUT'!B69="S. mel",44047*('DATA INPUT'!H69*'DATA INPUT'!I69)^1.5456/1000,IF('DATA INPUT'!B69="V. ref",91930*('DATA INPUT'!H69*'DATA INPUT'!I69)^1.7774/1000,IF('DATA INPUT'!B69=1,62601*('DATA INPUT'!H69*'DATA INPUT'!I69)^1.6463/1000,IF('DATA INPUT'!B69=2,5.0562*('DATA INPUT'!H69*'DATA INPUT'!I69)^0.9574,FALSE)))))</f>
        <v>0</v>
      </c>
      <c r="F65" s="18" t="b">
        <f>IF('DATA INPUT'!B69="T. ser",0.0009*I65^0.4477,IF('DATA INPUT'!B69="S. mel",0.0000004*I65^1.4912/1000,IF('DATA INPUT'!B69="V. ref",0.00000005*I65^1.6284/1000,IF('DATA INPUT'!B69=1,0.0000007*I65^1.4601/1000,IF('DATA INPUT'!B69=2,0.0009*I65^0.4477,FALSE)))))</f>
        <v>0</v>
      </c>
      <c r="G65" s="57">
        <f t="shared" si="10"/>
        <v>0</v>
      </c>
      <c r="H65" s="57"/>
      <c r="I65" s="2" t="b">
        <f>IF('DATA INPUT'!B69="T. ser",3.142*'DATA INPUT'!N69^2*'DATA INPUT'!O69/3+3.142*'DATA INPUT'!P69^2/3*(3*'DATA INPUT'!N69-'DATA INPUT'!P69),IF('DATA INPUT'!B69="S. mel",3.142*'DATA INPUT'!N69^2*'DATA INPUT'!O69/3+3.142*'DATA INPUT'!P69^2/3*(3*'DATA INPUT'!N69-'DATA INPUT'!P69),IF('DATA INPUT'!B69="V. ref",3.142*'DATA INPUT'!N69^2*'DATA INPUT'!O69/3+3.142*'DATA INPUT'!P69^2/3*(3*'DATA INPUT'!N69-'DATA INPUT'!P69),IF('DATA INPUT'!B69=1,3.142*'DATA INPUT'!N69^2*'DATA INPUT'!O69/3+3.142*'DATA INPUT'!P69^2/3*(3*'DATA INPUT'!N69-'DATA INPUT'!P69),IF('DATA INPUT'!B69=2,3.142*'DATA INPUT'!N69^2*'DATA INPUT'!O69/3+3.142*'DATA INPUT'!P69^2/3*(3*'DATA INPUT'!N69-'DATA INPUT'!P69),FALSE)))))</f>
        <v>0</v>
      </c>
      <c r="J65" s="2" t="b">
        <f>IF('DATA INPUT'!B69="T. ser",0.0458*CALCULATIONS!I65^0.6841,IF('DATA INPUT'!B69="S. mel",0.6047*CALCULATIONS!I65^0.6433,IF('DATA INPUT'!B69="V. ref",0.77086*CALCULATIONS!I65^0.4936,IF('DATA INPUT'!B69=1,0.68778*CALCULATIONS!I65^0.56845,IF('DATA INPUT'!B69=2,0.0458*CALCULATIONS!I65^0.6841,FALSE)))))</f>
        <v>0</v>
      </c>
      <c r="K65" s="3">
        <f t="shared" si="8"/>
        <v>0</v>
      </c>
      <c r="L65" s="3" t="b">
        <f>IF('DATA INPUT'!B69="T. ser",('DATA INPUT'!D69+'DATA INPUT'!F69+'DATA INPUT'!H69+'DATA INPUT'!J69)/1.5,IF('DATA INPUT'!B69="V. ref",('DATA INPUT'!D69+'DATA INPUT'!F69+'DATA INPUT'!H69+'DATA INPUT'!J69)/1.5,IF('DATA INPUT'!B69="S. mel",('DATA INPUT'!D69+'DATA INPUT'!F69+'DATA INPUT'!H69+'DATA INPUT'!J69)/1.5,IF('DATA INPUT'!B69=1,('DATA INPUT'!D69+'DATA INPUT'!F69+'DATA INPUT'!H69+'DATA INPUT'!J69)/1.5,IF('DATA INPUT'!B69=2,('DATA INPUT'!D69+'DATA INPUT'!F69+'DATA INPUT'!H69+'DATA INPUT'!J69)/1.5,FALSE)))))</f>
        <v>0</v>
      </c>
      <c r="N65" s="16">
        <f>'DATA INPUT'!C69</f>
        <v>0</v>
      </c>
      <c r="O65" s="3" t="b">
        <f>IF('DATA INPUT'!B69="T. ser",0.3446*'DATA INPUT'!D69^1.0619,IF('DATA INPUT'!B69="S. mel",(1270.6*'DATA INPUT'!D69^2.0933)/1000,IF('DATA INPUT'!B69="V. ref",(816.25*'DATA INPUT'!D69^2.1754)/1000,IF('DATA INPUT'!B69=1,(1492.4*'DATA INPUT'!D69^1.7591)/1000,IF('DATA INPUT'!B69=2,0.3446*'DATA INPUT'!D69^1.0619,FALSE)))))</f>
        <v>0</v>
      </c>
      <c r="P65" s="3" t="b">
        <f>IF('DATA INPUT'!B69="T. ser",0.3662*'DATA INPUT'!E69^1.5061,IF('DATA INPUT'!B69="S. mel",(748.47*'DATA INPUT'!E69^2.2691)/1000,IF('DATA INPUT'!B69="V. ref",(953.69*'DATA INPUT'!E69^1.9524)/1000,IF('DATA INPUT'!B69=1,(695.02*'DATA INPUT'!E69^2.3452)/1000,IF('DATA INPUT'!B69=2,0.3662*'DATA INPUT'!E69^1.5061,FALSE)))))</f>
        <v>0</v>
      </c>
      <c r="Q65" s="3" t="b">
        <f>IF('DATA INPUT'!B69="T. ser",0.1225*('DATA INPUT'!F69*'DATA INPUT'!G69)^0.8272,IF('DATA INPUT'!B69="S. mel",(925.08*('DATA INPUT'!F69*'DATA INPUT'!G69)^1.1603)/1000,IF('DATA INPUT'!B69="V. ref",(776.29*('DATA INPUT'!F69*'DATA INPUT'!G69)^1.1226)/1000,IF('DATA INPUT'!B69=1,(884.6*('DATA INPUT'!F69*'DATA INPUT'!G69)^1.129)/1000,IF('DATA INPUT'!B69=2,0.1225*('DATA INPUT'!F69*'DATA INPUT'!G69)^0.8272,FALSE)))))</f>
        <v>0</v>
      </c>
      <c r="R65" s="3" t="b">
        <f>IF('DATA INPUT'!B69="T. ser",5.5287*('DATA INPUT'!H69*'DATA INPUT'!I69)^0.8272,IF('DATA INPUT'!B69="S. mel",(31469*('DATA INPUT'!H69*'DATA INPUT'!I69)^0.8608)/1000,IF('DATA INPUT'!B69="V. ref",(39394*('DATA INPUT'!H69*'DATA INPUT'!I69)^1.005)/1000,IF('DATA INPUT'!B69=1,(31791*('DATA INPUT'!H69*'DATA INPUT'!I69)^0.8467)/1000,IF('DATA INPUT'!B69=2,5.5287*('DATA INPUT'!H69*'DATA INPUT'!I69)^0.8272,FALSE)))))</f>
        <v>0</v>
      </c>
      <c r="S65" s="3" t="b">
        <f>IF('DATA INPUT'!B69="T. ser",0.0005*I65^0.5148,IF('DATA INPUT'!B69="S. mel",0.051*I65^0.7789/1000,IF('DATA INPUT'!B69="V. ref",0.0958*I65^0.7253/1000,IF('DATA INPUT'!B69=1,0.0426*I65^0.786/1000,IF('DATA INPUT'!B69=2,0.0005*I65^0.5148,FALSE)))))</f>
        <v>0</v>
      </c>
      <c r="T65" s="59">
        <f t="shared" si="9"/>
        <v>0</v>
      </c>
    </row>
    <row r="66" spans="1:20" x14ac:dyDescent="0.2">
      <c r="A66" s="218">
        <f>'DATA INPUT'!C70</f>
        <v>0</v>
      </c>
      <c r="B66" s="11" t="b">
        <f>IF('DATA INPUT'!B70="T. ser",0.1656*'DATA INPUT'!D70^1.4655,IF('DATA INPUT'!B70="S. mel",135.53*'DATA INPUT'!D70^3.8701/1000,IF('DATA INPUT'!B70="V. ref",143.01*'DATA INPUT'!D70^3.3147/1000,IF('DATA INPUT'!B70=1,143.35*'DATA INPUT'!D70^3.6046/1000,IF('DATA INPUT'!B70=2,0.1656*'DATA INPUT'!D70^1.4655,FALSE)))))</f>
        <v>0</v>
      </c>
      <c r="C66" s="8" t="b">
        <f>IF('DATA INPUT'!B70="T. ser",0.3356*'DATA INPUT'!E70^0.9984,IF('DATA INPUT'!B70="S. mel",24.906*'DATA INPUT'!E70^4.7681/1000,IF('DATA INPUT'!B70="V. ref",118.45*'DATA INPUT'!E70^3.5959/1000,IF('DATA INPUT'!B70=1,55.075*'DATA INPUT'!E70^4.0991/1000,IF('DATA INPUT'!B70=2,0.3356*'DATA INPUT'!E70^0.9984,FALSE)))))</f>
        <v>0</v>
      </c>
      <c r="D66" s="18" t="b">
        <f>IF('DATA INPUT'!B70="T. ser",0.0615*('DATA INPUT'!F70*'DATA INPUT'!G70)^0.9573,IF('DATA INPUT'!B70="S. mel",46.162*('DATA INPUT'!F70*'DATA INPUT'!G70)^2.3652/1000,IF('DATA INPUT'!B70="V. ref",90.34*('DATA INPUT'!F70*'DATA INPUT'!G70)^1.9756/1000,IF('DATA INPUT'!B70=1,63.022*('DATA INPUT'!F70*'DATA INPUT'!G70)^2.1551/1000,IF('DATA INPUT'!B70=2,0.0615*('DATA INPUT'!F70*'DATA INPUT'!G70)^0.9573,FALSE)))))</f>
        <v>0</v>
      </c>
      <c r="E66" s="8" t="b">
        <f>IF('DATA INPUT'!B70="T. ser",5.0562*('DATA INPUT'!H70*'DATA INPUT'!I70)^0.9574,IF('DATA INPUT'!B70="S. mel",44047*('DATA INPUT'!H70*'DATA INPUT'!I70)^1.5456/1000,IF('DATA INPUT'!B70="V. ref",91930*('DATA INPUT'!H70*'DATA INPUT'!I70)^1.7774/1000,IF('DATA INPUT'!B70=1,62601*('DATA INPUT'!H70*'DATA INPUT'!I70)^1.6463/1000,IF('DATA INPUT'!B70=2,5.0562*('DATA INPUT'!H70*'DATA INPUT'!I70)^0.9574,FALSE)))))</f>
        <v>0</v>
      </c>
      <c r="F66" s="18" t="b">
        <f>IF('DATA INPUT'!B70="T. ser",0.0009*I66^0.4477,IF('DATA INPUT'!B70="S. mel",0.0000004*I66^1.4912/1000,IF('DATA INPUT'!B70="V. ref",0.00000005*I66^1.6284/1000,IF('DATA INPUT'!B70=1,0.0000007*I66^1.4601/1000,IF('DATA INPUT'!B70=2,0.0009*I66^0.4477,FALSE)))))</f>
        <v>0</v>
      </c>
      <c r="G66" s="57">
        <f t="shared" si="10"/>
        <v>0</v>
      </c>
      <c r="H66" s="57"/>
      <c r="I66" s="2" t="b">
        <f>IF('DATA INPUT'!B70="T. ser",3.142*'DATA INPUT'!N70^2*'DATA INPUT'!O70/3+3.142*'DATA INPUT'!P70^2/3*(3*'DATA INPUT'!N70-'DATA INPUT'!P70),IF('DATA INPUT'!B70="S. mel",3.142*'DATA INPUT'!N70^2*'DATA INPUT'!O70/3+3.142*'DATA INPUT'!P70^2/3*(3*'DATA INPUT'!N70-'DATA INPUT'!P70),IF('DATA INPUT'!B70="V. ref",3.142*'DATA INPUT'!N70^2*'DATA INPUT'!O70/3+3.142*'DATA INPUT'!P70^2/3*(3*'DATA INPUT'!N70-'DATA INPUT'!P70),IF('DATA INPUT'!B70=1,3.142*'DATA INPUT'!N70^2*'DATA INPUT'!O70/3+3.142*'DATA INPUT'!P70^2/3*(3*'DATA INPUT'!N70-'DATA INPUT'!P70),IF('DATA INPUT'!B70=2,3.142*'DATA INPUT'!N70^2*'DATA INPUT'!O70/3+3.142*'DATA INPUT'!P70^2/3*(3*'DATA INPUT'!N70-'DATA INPUT'!P70),FALSE)))))</f>
        <v>0</v>
      </c>
      <c r="J66" s="2" t="b">
        <f>IF('DATA INPUT'!B70="T. ser",0.0458*CALCULATIONS!I66^0.6841,IF('DATA INPUT'!B70="S. mel",0.6047*CALCULATIONS!I66^0.6433,IF('DATA INPUT'!B70="V. ref",0.77086*CALCULATIONS!I66^0.4936,IF('DATA INPUT'!B70=1,0.68778*CALCULATIONS!I66^0.56845,IF('DATA INPUT'!B70=2,0.0458*CALCULATIONS!I66^0.6841,FALSE)))))</f>
        <v>0</v>
      </c>
      <c r="K66" s="3">
        <f t="shared" si="8"/>
        <v>0</v>
      </c>
      <c r="L66" s="3" t="b">
        <f>IF('DATA INPUT'!B70="T. ser",('DATA INPUT'!D70+'DATA INPUT'!F70+'DATA INPUT'!H70+'DATA INPUT'!J70)/1.5,IF('DATA INPUT'!B70="V. ref",('DATA INPUT'!D70+'DATA INPUT'!F70+'DATA INPUT'!H70+'DATA INPUT'!J70)/1.5,IF('DATA INPUT'!B70="S. mel",('DATA INPUT'!D70+'DATA INPUT'!F70+'DATA INPUT'!H70+'DATA INPUT'!J70)/1.5,IF('DATA INPUT'!B70=1,('DATA INPUT'!D70+'DATA INPUT'!F70+'DATA INPUT'!H70+'DATA INPUT'!J70)/1.5,IF('DATA INPUT'!B70=2,('DATA INPUT'!D70+'DATA INPUT'!F70+'DATA INPUT'!H70+'DATA INPUT'!J70)/1.5,FALSE)))))</f>
        <v>0</v>
      </c>
      <c r="N66" s="16">
        <f>'DATA INPUT'!C70</f>
        <v>0</v>
      </c>
      <c r="O66" s="3" t="b">
        <f>IF('DATA INPUT'!B70="T. ser",0.3446*'DATA INPUT'!D70^1.0619,IF('DATA INPUT'!B70="S. mel",(1270.6*'DATA INPUT'!D70^2.0933)/1000,IF('DATA INPUT'!B70="V. ref",(816.25*'DATA INPUT'!D70^2.1754)/1000,IF('DATA INPUT'!B70=1,(1492.4*'DATA INPUT'!D70^1.7591)/1000,IF('DATA INPUT'!B70=2,0.3446*'DATA INPUT'!D70^1.0619,FALSE)))))</f>
        <v>0</v>
      </c>
      <c r="P66" s="3" t="b">
        <f>IF('DATA INPUT'!B70="T. ser",0.3662*'DATA INPUT'!E70^1.5061,IF('DATA INPUT'!B70="S. mel",(748.47*'DATA INPUT'!E70^2.2691)/1000,IF('DATA INPUT'!B70="V. ref",(953.69*'DATA INPUT'!E70^1.9524)/1000,IF('DATA INPUT'!B70=1,(695.02*'DATA INPUT'!E70^2.3452)/1000,IF('DATA INPUT'!B70=2,0.3662*'DATA INPUT'!E70^1.5061,FALSE)))))</f>
        <v>0</v>
      </c>
      <c r="Q66" s="3" t="b">
        <f>IF('DATA INPUT'!B70="T. ser",0.1225*('DATA INPUT'!F70*'DATA INPUT'!G70)^0.8272,IF('DATA INPUT'!B70="S. mel",(925.08*('DATA INPUT'!F70*'DATA INPUT'!G70)^1.1603)/1000,IF('DATA INPUT'!B70="V. ref",(776.29*('DATA INPUT'!F70*'DATA INPUT'!G70)^1.1226)/1000,IF('DATA INPUT'!B70=1,(884.6*('DATA INPUT'!F70*'DATA INPUT'!G70)^1.129)/1000,IF('DATA INPUT'!B70=2,0.1225*('DATA INPUT'!F70*'DATA INPUT'!G70)^0.8272,FALSE)))))</f>
        <v>0</v>
      </c>
      <c r="R66" s="3" t="b">
        <f>IF('DATA INPUT'!B70="T. ser",5.5287*('DATA INPUT'!H70*'DATA INPUT'!I70)^0.8272,IF('DATA INPUT'!B70="S. mel",(31469*('DATA INPUT'!H70*'DATA INPUT'!I70)^0.8608)/1000,IF('DATA INPUT'!B70="V. ref",(39394*('DATA INPUT'!H70*'DATA INPUT'!I70)^1.005)/1000,IF('DATA INPUT'!B70=1,(31791*('DATA INPUT'!H70*'DATA INPUT'!I70)^0.8467)/1000,IF('DATA INPUT'!B70=2,5.5287*('DATA INPUT'!H70*'DATA INPUT'!I70)^0.8272,FALSE)))))</f>
        <v>0</v>
      </c>
      <c r="S66" s="3" t="b">
        <f>IF('DATA INPUT'!B70="T. ser",0.0005*I66^0.5148,IF('DATA INPUT'!B70="S. mel",0.051*I66^0.7789/1000,IF('DATA INPUT'!B70="V. ref",0.0958*I66^0.7253/1000,IF('DATA INPUT'!B70=1,0.0426*I66^0.786/1000,IF('DATA INPUT'!B70=2,0.0005*I66^0.5148,FALSE)))))</f>
        <v>0</v>
      </c>
      <c r="T66" s="59">
        <f t="shared" si="9"/>
        <v>0</v>
      </c>
    </row>
    <row r="67" spans="1:20" x14ac:dyDescent="0.2">
      <c r="A67" s="218">
        <f>'DATA INPUT'!C71</f>
        <v>0</v>
      </c>
      <c r="B67" s="11" t="b">
        <f>IF('DATA INPUT'!B71="T. ser",0.1656*'DATA INPUT'!D71^1.4655,IF('DATA INPUT'!B71="S. mel",135.53*'DATA INPUT'!D71^3.8701/1000,IF('DATA INPUT'!B71="V. ref",143.01*'DATA INPUT'!D71^3.3147/1000,IF('DATA INPUT'!B71=1,143.35*'DATA INPUT'!D71^3.6046/1000,IF('DATA INPUT'!B71=2,0.1656*'DATA INPUT'!D71^1.4655,FALSE)))))</f>
        <v>0</v>
      </c>
      <c r="C67" s="8" t="b">
        <f>IF('DATA INPUT'!B71="T. ser",0.3356*'DATA INPUT'!E71^0.9984,IF('DATA INPUT'!B71="S. mel",24.906*'DATA INPUT'!E71^4.7681/1000,IF('DATA INPUT'!B71="V. ref",118.45*'DATA INPUT'!E71^3.5959/1000,IF('DATA INPUT'!B71=1,55.075*'DATA INPUT'!E71^4.0991/1000,IF('DATA INPUT'!B71=2,0.3356*'DATA INPUT'!E71^0.9984,FALSE)))))</f>
        <v>0</v>
      </c>
      <c r="D67" s="18" t="b">
        <f>IF('DATA INPUT'!B71="T. ser",0.0615*('DATA INPUT'!F71*'DATA INPUT'!G71)^0.9573,IF('DATA INPUT'!B71="S. mel",46.162*('DATA INPUT'!F71*'DATA INPUT'!G71)^2.3652/1000,IF('DATA INPUT'!B71="V. ref",90.34*('DATA INPUT'!F71*'DATA INPUT'!G71)^1.9756/1000,IF('DATA INPUT'!B71=1,63.022*('DATA INPUT'!F71*'DATA INPUT'!G71)^2.1551/1000,IF('DATA INPUT'!B71=2,0.0615*('DATA INPUT'!F71*'DATA INPUT'!G71)^0.9573,FALSE)))))</f>
        <v>0</v>
      </c>
      <c r="E67" s="8" t="b">
        <f>IF('DATA INPUT'!B71="T. ser",5.0562*('DATA INPUT'!H71*'DATA INPUT'!I71)^0.9574,IF('DATA INPUT'!B71="S. mel",44047*('DATA INPUT'!H71*'DATA INPUT'!I71)^1.5456/1000,IF('DATA INPUT'!B71="V. ref",91930*('DATA INPUT'!H71*'DATA INPUT'!I71)^1.7774/1000,IF('DATA INPUT'!B71=1,62601*('DATA INPUT'!H71*'DATA INPUT'!I71)^1.6463/1000,IF('DATA INPUT'!B71=2,5.0562*('DATA INPUT'!H71*'DATA INPUT'!I71)^0.9574,FALSE)))))</f>
        <v>0</v>
      </c>
      <c r="F67" s="18" t="b">
        <f>IF('DATA INPUT'!B71="T. ser",0.0009*I67^0.4477,IF('DATA INPUT'!B71="S. mel",0.0000004*I67^1.4912/1000,IF('DATA INPUT'!B71="V. ref",0.00000005*I67^1.6284/1000,IF('DATA INPUT'!B71=1,0.0000007*I67^1.4601/1000,IF('DATA INPUT'!B71=2,0.0009*I67^0.4477,FALSE)))))</f>
        <v>0</v>
      </c>
      <c r="G67" s="57">
        <f t="shared" si="10"/>
        <v>0</v>
      </c>
      <c r="H67" s="57"/>
      <c r="I67" s="2" t="b">
        <f>IF('DATA INPUT'!B71="T. ser",3.142*'DATA INPUT'!N71^2*'DATA INPUT'!O71/3+3.142*'DATA INPUT'!P71^2/3*(3*'DATA INPUT'!N71-'DATA INPUT'!P71),IF('DATA INPUT'!B71="S. mel",3.142*'DATA INPUT'!N71^2*'DATA INPUT'!O71/3+3.142*'DATA INPUT'!P71^2/3*(3*'DATA INPUT'!N71-'DATA INPUT'!P71),IF('DATA INPUT'!B71="V. ref",3.142*'DATA INPUT'!N71^2*'DATA INPUT'!O71/3+3.142*'DATA INPUT'!P71^2/3*(3*'DATA INPUT'!N71-'DATA INPUT'!P71),IF('DATA INPUT'!B71=1,3.142*'DATA INPUT'!N71^2*'DATA INPUT'!O71/3+3.142*'DATA INPUT'!P71^2/3*(3*'DATA INPUT'!N71-'DATA INPUT'!P71),IF('DATA INPUT'!B71=2,3.142*'DATA INPUT'!N71^2*'DATA INPUT'!O71/3+3.142*'DATA INPUT'!P71^2/3*(3*'DATA INPUT'!N71-'DATA INPUT'!P71),FALSE)))))</f>
        <v>0</v>
      </c>
      <c r="J67" s="2" t="b">
        <f>IF('DATA INPUT'!B71="T. ser",0.0458*CALCULATIONS!I67^0.6841,IF('DATA INPUT'!B71="S. mel",0.6047*CALCULATIONS!I67^0.6433,IF('DATA INPUT'!B71="V. ref",0.77086*CALCULATIONS!I67^0.4936,IF('DATA INPUT'!B71=1,0.68778*CALCULATIONS!I67^0.56845,IF('DATA INPUT'!B71=2,0.0458*CALCULATIONS!I67^0.6841,FALSE)))))</f>
        <v>0</v>
      </c>
      <c r="K67" s="3">
        <f t="shared" si="8"/>
        <v>0</v>
      </c>
      <c r="L67" s="3" t="b">
        <f>IF('DATA INPUT'!B71="T. ser",('DATA INPUT'!D71+'DATA INPUT'!F71+'DATA INPUT'!H71+'DATA INPUT'!J71)/1.5,IF('DATA INPUT'!B71="V. ref",('DATA INPUT'!D71+'DATA INPUT'!F71+'DATA INPUT'!H71+'DATA INPUT'!J71)/1.5,IF('DATA INPUT'!B71="S. mel",('DATA INPUT'!D71+'DATA INPUT'!F71+'DATA INPUT'!H71+'DATA INPUT'!J71)/1.5,IF('DATA INPUT'!B71=1,('DATA INPUT'!D71+'DATA INPUT'!F71+'DATA INPUT'!H71+'DATA INPUT'!J71)/1.5,IF('DATA INPUT'!B71=2,('DATA INPUT'!D71+'DATA INPUT'!F71+'DATA INPUT'!H71+'DATA INPUT'!J71)/1.5,FALSE)))))</f>
        <v>0</v>
      </c>
      <c r="N67" s="16">
        <f>'DATA INPUT'!C71</f>
        <v>0</v>
      </c>
      <c r="O67" s="3" t="b">
        <f>IF('DATA INPUT'!B71="T. ser",0.3446*'DATA INPUT'!D71^1.0619,IF('DATA INPUT'!B71="S. mel",(1270.6*'DATA INPUT'!D71^2.0933)/1000,IF('DATA INPUT'!B71="V. ref",(816.25*'DATA INPUT'!D71^2.1754)/1000,IF('DATA INPUT'!B71=1,(1492.4*'DATA INPUT'!D71^1.7591)/1000,IF('DATA INPUT'!B71=2,0.3446*'DATA INPUT'!D71^1.0619,FALSE)))))</f>
        <v>0</v>
      </c>
      <c r="P67" s="3" t="b">
        <f>IF('DATA INPUT'!B71="T. ser",0.3662*'DATA INPUT'!E71^1.5061,IF('DATA INPUT'!B71="S. mel",(748.47*'DATA INPUT'!E71^2.2691)/1000,IF('DATA INPUT'!B71="V. ref",(953.69*'DATA INPUT'!E71^1.9524)/1000,IF('DATA INPUT'!B71=1,(695.02*'DATA INPUT'!E71^2.3452)/1000,IF('DATA INPUT'!B71=2,0.3662*'DATA INPUT'!E71^1.5061,FALSE)))))</f>
        <v>0</v>
      </c>
      <c r="Q67" s="3" t="b">
        <f>IF('DATA INPUT'!B71="T. ser",0.1225*('DATA INPUT'!F71*'DATA INPUT'!G71)^0.8272,IF('DATA INPUT'!B71="S. mel",(925.08*('DATA INPUT'!F71*'DATA INPUT'!G71)^1.1603)/1000,IF('DATA INPUT'!B71="V. ref",(776.29*('DATA INPUT'!F71*'DATA INPUT'!G71)^1.1226)/1000,IF('DATA INPUT'!B71=1,(884.6*('DATA INPUT'!F71*'DATA INPUT'!G71)^1.129)/1000,IF('DATA INPUT'!B71=2,0.1225*('DATA INPUT'!F71*'DATA INPUT'!G71)^0.8272,FALSE)))))</f>
        <v>0</v>
      </c>
      <c r="R67" s="3" t="b">
        <f>IF('DATA INPUT'!B71="T. ser",5.5287*('DATA INPUT'!H71*'DATA INPUT'!I71)^0.8272,IF('DATA INPUT'!B71="S. mel",(31469*('DATA INPUT'!H71*'DATA INPUT'!I71)^0.8608)/1000,IF('DATA INPUT'!B71="V. ref",(39394*('DATA INPUT'!H71*'DATA INPUT'!I71)^1.005)/1000,IF('DATA INPUT'!B71=1,(31791*('DATA INPUT'!H71*'DATA INPUT'!I71)^0.8467)/1000,IF('DATA INPUT'!B71=2,5.5287*('DATA INPUT'!H71*'DATA INPUT'!I71)^0.8272,FALSE)))))</f>
        <v>0</v>
      </c>
      <c r="S67" s="3" t="b">
        <f>IF('DATA INPUT'!B71="T. ser",0.0005*I67^0.5148,IF('DATA INPUT'!B71="S. mel",0.051*I67^0.7789/1000,IF('DATA INPUT'!B71="V. ref",0.0958*I67^0.7253/1000,IF('DATA INPUT'!B71=1,0.0426*I67^0.786/1000,IF('DATA INPUT'!B71=2,0.0005*I67^0.5148,FALSE)))))</f>
        <v>0</v>
      </c>
      <c r="T67" s="59">
        <f t="shared" si="9"/>
        <v>0</v>
      </c>
    </row>
    <row r="68" spans="1:20" x14ac:dyDescent="0.2">
      <c r="A68" s="218">
        <f>'DATA INPUT'!C72</f>
        <v>0</v>
      </c>
      <c r="B68" s="11" t="b">
        <f>IF('DATA INPUT'!B72="T. ser",0.1656*'DATA INPUT'!D72^1.4655,IF('DATA INPUT'!B72="S. mel",135.53*'DATA INPUT'!D72^3.8701/1000,IF('DATA INPUT'!B72="V. ref",143.01*'DATA INPUT'!D72^3.3147/1000,IF('DATA INPUT'!B72=1,143.35*'DATA INPUT'!D72^3.6046/1000,IF('DATA INPUT'!B72=2,0.1656*'DATA INPUT'!D72^1.4655,FALSE)))))</f>
        <v>0</v>
      </c>
      <c r="C68" s="8" t="b">
        <f>IF('DATA INPUT'!B72="T. ser",0.3356*'DATA INPUT'!E72^0.9984,IF('DATA INPUT'!B72="S. mel",24.906*'DATA INPUT'!E72^4.7681/1000,IF('DATA INPUT'!B72="V. ref",118.45*'DATA INPUT'!E72^3.5959/1000,IF('DATA INPUT'!B72=1,55.075*'DATA INPUT'!E72^4.0991/1000,IF('DATA INPUT'!B72=2,0.3356*'DATA INPUT'!E72^0.9984,FALSE)))))</f>
        <v>0</v>
      </c>
      <c r="D68" s="18" t="b">
        <f>IF('DATA INPUT'!B72="T. ser",0.0615*('DATA INPUT'!F72*'DATA INPUT'!G72)^0.9573,IF('DATA INPUT'!B72="S. mel",46.162*('DATA INPUT'!F72*'DATA INPUT'!G72)^2.3652/1000,IF('DATA INPUT'!B72="V. ref",90.34*('DATA INPUT'!F72*'DATA INPUT'!G72)^1.9756/1000,IF('DATA INPUT'!B72=1,63.022*('DATA INPUT'!F72*'DATA INPUT'!G72)^2.1551/1000,IF('DATA INPUT'!B72=2,0.0615*('DATA INPUT'!F72*'DATA INPUT'!G72)^0.9573,FALSE)))))</f>
        <v>0</v>
      </c>
      <c r="E68" s="8" t="b">
        <f>IF('DATA INPUT'!B72="T. ser",5.0562*('DATA INPUT'!H72*'DATA INPUT'!I72)^0.9574,IF('DATA INPUT'!B72="S. mel",44047*('DATA INPUT'!H72*'DATA INPUT'!I72)^1.5456/1000,IF('DATA INPUT'!B72="V. ref",91930*('DATA INPUT'!H72*'DATA INPUT'!I72)^1.7774/1000,IF('DATA INPUT'!B72=1,62601*('DATA INPUT'!H72*'DATA INPUT'!I72)^1.6463/1000,IF('DATA INPUT'!B72=2,5.0562*('DATA INPUT'!H72*'DATA INPUT'!I72)^0.9574,FALSE)))))</f>
        <v>0</v>
      </c>
      <c r="F68" s="18" t="b">
        <f>IF('DATA INPUT'!B72="T. ser",0.0009*I68^0.4477,IF('DATA INPUT'!B72="S. mel",0.0000004*I68^1.4912/1000,IF('DATA INPUT'!B72="V. ref",0.00000005*I68^1.6284/1000,IF('DATA INPUT'!B72=1,0.0000007*I68^1.4601/1000,IF('DATA INPUT'!B72=2,0.0009*I68^0.4477,FALSE)))))</f>
        <v>0</v>
      </c>
      <c r="G68" s="57">
        <f t="shared" si="10"/>
        <v>0</v>
      </c>
      <c r="H68" s="57"/>
      <c r="I68" s="2" t="b">
        <f>IF('DATA INPUT'!B72="T. ser",3.142*'DATA INPUT'!N72^2*'DATA INPUT'!O72/3+3.142*'DATA INPUT'!P72^2/3*(3*'DATA INPUT'!N72-'DATA INPUT'!P72),IF('DATA INPUT'!B72="S. mel",3.142*'DATA INPUT'!N72^2*'DATA INPUT'!O72/3+3.142*'DATA INPUT'!P72^2/3*(3*'DATA INPUT'!N72-'DATA INPUT'!P72),IF('DATA INPUT'!B72="V. ref",3.142*'DATA INPUT'!N72^2*'DATA INPUT'!O72/3+3.142*'DATA INPUT'!P72^2/3*(3*'DATA INPUT'!N72-'DATA INPUT'!P72),IF('DATA INPUT'!B72=1,3.142*'DATA INPUT'!N72^2*'DATA INPUT'!O72/3+3.142*'DATA INPUT'!P72^2/3*(3*'DATA INPUT'!N72-'DATA INPUT'!P72),IF('DATA INPUT'!B72=2,3.142*'DATA INPUT'!N72^2*'DATA INPUT'!O72/3+3.142*'DATA INPUT'!P72^2/3*(3*'DATA INPUT'!N72-'DATA INPUT'!P72),FALSE)))))</f>
        <v>0</v>
      </c>
      <c r="J68" s="2" t="b">
        <f>IF('DATA INPUT'!B72="T. ser",0.0458*CALCULATIONS!I68^0.6841,IF('DATA INPUT'!B72="S. mel",0.6047*CALCULATIONS!I68^0.6433,IF('DATA INPUT'!B72="V. ref",0.77086*CALCULATIONS!I68^0.4936,IF('DATA INPUT'!B72=1,0.68778*CALCULATIONS!I68^0.56845,IF('DATA INPUT'!B72=2,0.0458*CALCULATIONS!I68^0.6841,FALSE)))))</f>
        <v>0</v>
      </c>
      <c r="K68" s="3">
        <f t="shared" si="8"/>
        <v>0</v>
      </c>
      <c r="L68" s="3" t="b">
        <f>IF('DATA INPUT'!B72="T. ser",('DATA INPUT'!D72+'DATA INPUT'!F72+'DATA INPUT'!H72+'DATA INPUT'!J72)/1.5,IF('DATA INPUT'!B72="V. ref",('DATA INPUT'!D72+'DATA INPUT'!F72+'DATA INPUT'!H72+'DATA INPUT'!J72)/1.5,IF('DATA INPUT'!B72="S. mel",('DATA INPUT'!D72+'DATA INPUT'!F72+'DATA INPUT'!H72+'DATA INPUT'!J72)/1.5,IF('DATA INPUT'!B72=1,('DATA INPUT'!D72+'DATA INPUT'!F72+'DATA INPUT'!H72+'DATA INPUT'!J72)/1.5,IF('DATA INPUT'!B72=2,('DATA INPUT'!D72+'DATA INPUT'!F72+'DATA INPUT'!H72+'DATA INPUT'!J72)/1.5,FALSE)))))</f>
        <v>0</v>
      </c>
      <c r="N68" s="16">
        <f>'DATA INPUT'!C72</f>
        <v>0</v>
      </c>
      <c r="O68" s="3" t="b">
        <f>IF('DATA INPUT'!B72="T. ser",0.3446*'DATA INPUT'!D72^1.0619,IF('DATA INPUT'!B72="S. mel",(1270.6*'DATA INPUT'!D72^2.0933)/1000,IF('DATA INPUT'!B72="V. ref",(816.25*'DATA INPUT'!D72^2.1754)/1000,IF('DATA INPUT'!B72=1,(1492.4*'DATA INPUT'!D72^1.7591)/1000,IF('DATA INPUT'!B72=2,0.3446*'DATA INPUT'!D72^1.0619,FALSE)))))</f>
        <v>0</v>
      </c>
      <c r="P68" s="3" t="b">
        <f>IF('DATA INPUT'!B72="T. ser",0.3662*'DATA INPUT'!E72^1.5061,IF('DATA INPUT'!B72="S. mel",(748.47*'DATA INPUT'!E72^2.2691)/1000,IF('DATA INPUT'!B72="V. ref",(953.69*'DATA INPUT'!E72^1.9524)/1000,IF('DATA INPUT'!B72=1,(695.02*'DATA INPUT'!E72^2.3452)/1000,IF('DATA INPUT'!B72=2,0.3662*'DATA INPUT'!E72^1.5061,FALSE)))))</f>
        <v>0</v>
      </c>
      <c r="Q68" s="3" t="b">
        <f>IF('DATA INPUT'!B72="T. ser",0.1225*('DATA INPUT'!F72*'DATA INPUT'!G72)^0.8272,IF('DATA INPUT'!B72="S. mel",(925.08*('DATA INPUT'!F72*'DATA INPUT'!G72)^1.1603)/1000,IF('DATA INPUT'!B72="V. ref",(776.29*('DATA INPUT'!F72*'DATA INPUT'!G72)^1.1226)/1000,IF('DATA INPUT'!B72=1,(884.6*('DATA INPUT'!F72*'DATA INPUT'!G72)^1.129)/1000,IF('DATA INPUT'!B72=2,0.1225*('DATA INPUT'!F72*'DATA INPUT'!G72)^0.8272,FALSE)))))</f>
        <v>0</v>
      </c>
      <c r="R68" s="3" t="b">
        <f>IF('DATA INPUT'!B72="T. ser",5.5287*('DATA INPUT'!H72*'DATA INPUT'!I72)^0.8272,IF('DATA INPUT'!B72="S. mel",(31469*('DATA INPUT'!H72*'DATA INPUT'!I72)^0.8608)/1000,IF('DATA INPUT'!B72="V. ref",(39394*('DATA INPUT'!H72*'DATA INPUT'!I72)^1.005)/1000,IF('DATA INPUT'!B72=1,(31791*('DATA INPUT'!H72*'DATA INPUT'!I72)^0.8467)/1000,IF('DATA INPUT'!B72=2,5.5287*('DATA INPUT'!H72*'DATA INPUT'!I72)^0.8272,FALSE)))))</f>
        <v>0</v>
      </c>
      <c r="S68" s="3" t="b">
        <f>IF('DATA INPUT'!B72="T. ser",0.0005*I68^0.5148,IF('DATA INPUT'!B72="S. mel",0.051*I68^0.7789/1000,IF('DATA INPUT'!B72="V. ref",0.0958*I68^0.7253/1000,IF('DATA INPUT'!B72=1,0.0426*I68^0.786/1000,IF('DATA INPUT'!B72=2,0.0005*I68^0.5148,FALSE)))))</f>
        <v>0</v>
      </c>
      <c r="T68" s="59">
        <f t="shared" si="9"/>
        <v>0</v>
      </c>
    </row>
    <row r="69" spans="1:20" x14ac:dyDescent="0.2">
      <c r="A69" s="218">
        <f>'DATA INPUT'!C73</f>
        <v>0</v>
      </c>
      <c r="B69" s="11" t="b">
        <f>IF('DATA INPUT'!B73="T. ser",0.1656*'DATA INPUT'!D73^1.4655,IF('DATA INPUT'!B73="S. mel",135.53*'DATA INPUT'!D73^3.8701/1000,IF('DATA INPUT'!B73="V. ref",143.01*'DATA INPUT'!D73^3.3147/1000,IF('DATA INPUT'!B73=1,143.35*'DATA INPUT'!D73^3.6046/1000,IF('DATA INPUT'!B73=2,0.1656*'DATA INPUT'!D73^1.4655,FALSE)))))</f>
        <v>0</v>
      </c>
      <c r="C69" s="8" t="b">
        <f>IF('DATA INPUT'!B73="T. ser",0.3356*'DATA INPUT'!E73^0.9984,IF('DATA INPUT'!B73="S. mel",24.906*'DATA INPUT'!E73^4.7681/1000,IF('DATA INPUT'!B73="V. ref",118.45*'DATA INPUT'!E73^3.5959/1000,IF('DATA INPUT'!B73=1,55.075*'DATA INPUT'!E73^4.0991/1000,IF('DATA INPUT'!B73=2,0.3356*'DATA INPUT'!E73^0.9984,FALSE)))))</f>
        <v>0</v>
      </c>
      <c r="D69" s="18" t="b">
        <f>IF('DATA INPUT'!B73="T. ser",0.0615*('DATA INPUT'!F73*'DATA INPUT'!G73)^0.9573,IF('DATA INPUT'!B73="S. mel",46.162*('DATA INPUT'!F73*'DATA INPUT'!G73)^2.3652/1000,IF('DATA INPUT'!B73="V. ref",90.34*('DATA INPUT'!F73*'DATA INPUT'!G73)^1.9756/1000,IF('DATA INPUT'!B73=1,63.022*('DATA INPUT'!F73*'DATA INPUT'!G73)^2.1551/1000,IF('DATA INPUT'!B73=2,0.0615*('DATA INPUT'!F73*'DATA INPUT'!G73)^0.9573,FALSE)))))</f>
        <v>0</v>
      </c>
      <c r="E69" s="8" t="b">
        <f>IF('DATA INPUT'!B73="T. ser",5.0562*('DATA INPUT'!H73*'DATA INPUT'!I73)^0.9574,IF('DATA INPUT'!B73="S. mel",44047*('DATA INPUT'!H73*'DATA INPUT'!I73)^1.5456/1000,IF('DATA INPUT'!B73="V. ref",91930*('DATA INPUT'!H73*'DATA INPUT'!I73)^1.7774/1000,IF('DATA INPUT'!B73=1,62601*('DATA INPUT'!H73*'DATA INPUT'!I73)^1.6463/1000,IF('DATA INPUT'!B73=2,5.0562*('DATA INPUT'!H73*'DATA INPUT'!I73)^0.9574,FALSE)))))</f>
        <v>0</v>
      </c>
      <c r="F69" s="18" t="b">
        <f>IF('DATA INPUT'!B73="T. ser",0.0009*I69^0.4477,IF('DATA INPUT'!B73="S. mel",0.0000004*I69^1.4912/1000,IF('DATA INPUT'!B73="V. ref",0.00000005*I69^1.6284/1000,IF('DATA INPUT'!B73=1,0.0000007*I69^1.4601/1000,IF('DATA INPUT'!B73=2,0.0009*I69^0.4477,FALSE)))))</f>
        <v>0</v>
      </c>
      <c r="G69" s="57">
        <f t="shared" si="10"/>
        <v>0</v>
      </c>
      <c r="H69" s="57"/>
      <c r="I69" s="2" t="b">
        <f>IF('DATA INPUT'!B73="T. ser",3.142*'DATA INPUT'!N73^2*'DATA INPUT'!O73/3+3.142*'DATA INPUT'!P73^2/3*(3*'DATA INPUT'!N73-'DATA INPUT'!P73),IF('DATA INPUT'!B73="S. mel",3.142*'DATA INPUT'!N73^2*'DATA INPUT'!O73/3+3.142*'DATA INPUT'!P73^2/3*(3*'DATA INPUT'!N73-'DATA INPUT'!P73),IF('DATA INPUT'!B73="V. ref",3.142*'DATA INPUT'!N73^2*'DATA INPUT'!O73/3+3.142*'DATA INPUT'!P73^2/3*(3*'DATA INPUT'!N73-'DATA INPUT'!P73),IF('DATA INPUT'!B73=1,3.142*'DATA INPUT'!N73^2*'DATA INPUT'!O73/3+3.142*'DATA INPUT'!P73^2/3*(3*'DATA INPUT'!N73-'DATA INPUT'!P73),IF('DATA INPUT'!B73=2,3.142*'DATA INPUT'!N73^2*'DATA INPUT'!O73/3+3.142*'DATA INPUT'!P73^2/3*(3*'DATA INPUT'!N73-'DATA INPUT'!P73),FALSE)))))</f>
        <v>0</v>
      </c>
      <c r="J69" s="2" t="b">
        <f>IF('DATA INPUT'!B73="T. ser",0.0458*CALCULATIONS!I69^0.6841,IF('DATA INPUT'!B73="S. mel",0.6047*CALCULATIONS!I69^0.6433,IF('DATA INPUT'!B73="V. ref",0.77086*CALCULATIONS!I69^0.4936,IF('DATA INPUT'!B73=1,0.68778*CALCULATIONS!I69^0.56845,IF('DATA INPUT'!B73=2,0.0458*CALCULATIONS!I69^0.6841,FALSE)))))</f>
        <v>0</v>
      </c>
      <c r="K69" s="3">
        <f t="shared" si="8"/>
        <v>0</v>
      </c>
      <c r="L69" s="3" t="b">
        <f>IF('DATA INPUT'!B73="T. ser",('DATA INPUT'!D73+'DATA INPUT'!F73+'DATA INPUT'!H73+'DATA INPUT'!J73)/1.5,IF('DATA INPUT'!B73="V. ref",('DATA INPUT'!D73+'DATA INPUT'!F73+'DATA INPUT'!H73+'DATA INPUT'!J73)/1.5,IF('DATA INPUT'!B73="S. mel",('DATA INPUT'!D73+'DATA INPUT'!F73+'DATA INPUT'!H73+'DATA INPUT'!J73)/1.5,IF('DATA INPUT'!B73=1,('DATA INPUT'!D73+'DATA INPUT'!F73+'DATA INPUT'!H73+'DATA INPUT'!J73)/1.5,IF('DATA INPUT'!B73=2,('DATA INPUT'!D73+'DATA INPUT'!F73+'DATA INPUT'!H73+'DATA INPUT'!J73)/1.5,FALSE)))))</f>
        <v>0</v>
      </c>
      <c r="N69" s="16">
        <f>'DATA INPUT'!C73</f>
        <v>0</v>
      </c>
      <c r="O69" s="3" t="b">
        <f>IF('DATA INPUT'!B73="T. ser",0.3446*'DATA INPUT'!D73^1.0619,IF('DATA INPUT'!B73="S. mel",(1270.6*'DATA INPUT'!D73^2.0933)/1000,IF('DATA INPUT'!B73="V. ref",(816.25*'DATA INPUT'!D73^2.1754)/1000,IF('DATA INPUT'!B73=1,(1492.4*'DATA INPUT'!D73^1.7591)/1000,IF('DATA INPUT'!B73=2,0.3446*'DATA INPUT'!D73^1.0619,FALSE)))))</f>
        <v>0</v>
      </c>
      <c r="P69" s="3" t="b">
        <f>IF('DATA INPUT'!B73="T. ser",0.3662*'DATA INPUT'!E73^1.5061,IF('DATA INPUT'!B73="S. mel",(748.47*'DATA INPUT'!E73^2.2691)/1000,IF('DATA INPUT'!B73="V. ref",(953.69*'DATA INPUT'!E73^1.9524)/1000,IF('DATA INPUT'!B73=1,(695.02*'DATA INPUT'!E73^2.3452)/1000,IF('DATA INPUT'!B73=2,0.3662*'DATA INPUT'!E73^1.5061,FALSE)))))</f>
        <v>0</v>
      </c>
      <c r="Q69" s="3" t="b">
        <f>IF('DATA INPUT'!B73="T. ser",0.1225*('DATA INPUT'!F73*'DATA INPUT'!G73)^0.8272,IF('DATA INPUT'!B73="S. mel",(925.08*('DATA INPUT'!F73*'DATA INPUT'!G73)^1.1603)/1000,IF('DATA INPUT'!B73="V. ref",(776.29*('DATA INPUT'!F73*'DATA INPUT'!G73)^1.1226)/1000,IF('DATA INPUT'!B73=1,(884.6*('DATA INPUT'!F73*'DATA INPUT'!G73)^1.129)/1000,IF('DATA INPUT'!B73=2,0.1225*('DATA INPUT'!F73*'DATA INPUT'!G73)^0.8272,FALSE)))))</f>
        <v>0</v>
      </c>
      <c r="R69" s="3" t="b">
        <f>IF('DATA INPUT'!B73="T. ser",5.5287*('DATA INPUT'!H73*'DATA INPUT'!I73)^0.8272,IF('DATA INPUT'!B73="S. mel",(31469*('DATA INPUT'!H73*'DATA INPUT'!I73)^0.8608)/1000,IF('DATA INPUT'!B73="V. ref",(39394*('DATA INPUT'!H73*'DATA INPUT'!I73)^1.005)/1000,IF('DATA INPUT'!B73=1,(31791*('DATA INPUT'!H73*'DATA INPUT'!I73)^0.8467)/1000,IF('DATA INPUT'!B73=2,5.5287*('DATA INPUT'!H73*'DATA INPUT'!I73)^0.8272,FALSE)))))</f>
        <v>0</v>
      </c>
      <c r="S69" s="3" t="b">
        <f>IF('DATA INPUT'!B73="T. ser",0.0005*I69^0.5148,IF('DATA INPUT'!B73="S. mel",0.051*I69^0.7789/1000,IF('DATA INPUT'!B73="V. ref",0.0958*I69^0.7253/1000,IF('DATA INPUT'!B73=1,0.0426*I69^0.786/1000,IF('DATA INPUT'!B73=2,0.0005*I69^0.5148,FALSE)))))</f>
        <v>0</v>
      </c>
      <c r="T69" s="59">
        <f t="shared" si="9"/>
        <v>0</v>
      </c>
    </row>
    <row r="70" spans="1:20" x14ac:dyDescent="0.2">
      <c r="A70" s="218">
        <f>'DATA INPUT'!C74</f>
        <v>0</v>
      </c>
      <c r="B70" s="11" t="b">
        <f>IF('DATA INPUT'!B74="T. ser",0.1656*'DATA INPUT'!D74^1.4655,IF('DATA INPUT'!B74="S. mel",135.53*'DATA INPUT'!D74^3.8701/1000,IF('DATA INPUT'!B74="V. ref",143.01*'DATA INPUT'!D74^3.3147/1000,IF('DATA INPUT'!B74=1,143.35*'DATA INPUT'!D74^3.6046/1000,IF('DATA INPUT'!B74=2,0.1656*'DATA INPUT'!D74^1.4655,FALSE)))))</f>
        <v>0</v>
      </c>
      <c r="C70" s="8" t="b">
        <f>IF('DATA INPUT'!B74="T. ser",0.3356*'DATA INPUT'!E74^0.9984,IF('DATA INPUT'!B74="S. mel",24.906*'DATA INPUT'!E74^4.7681/1000,IF('DATA INPUT'!B74="V. ref",118.45*'DATA INPUT'!E74^3.5959/1000,IF('DATA INPUT'!B74=1,55.075*'DATA INPUT'!E74^4.0991/1000,IF('DATA INPUT'!B74=2,0.3356*'DATA INPUT'!E74^0.9984,FALSE)))))</f>
        <v>0</v>
      </c>
      <c r="D70" s="18" t="b">
        <f>IF('DATA INPUT'!B74="T. ser",0.0615*('DATA INPUT'!F74*'DATA INPUT'!G74)^0.9573,IF('DATA INPUT'!B74="S. mel",46.162*('DATA INPUT'!F74*'DATA INPUT'!G74)^2.3652/1000,IF('DATA INPUT'!B74="V. ref",90.34*('DATA INPUT'!F74*'DATA INPUT'!G74)^1.9756/1000,IF('DATA INPUT'!B74=1,63.022*('DATA INPUT'!F74*'DATA INPUT'!G74)^2.1551/1000,IF('DATA INPUT'!B74=2,0.0615*('DATA INPUT'!F74*'DATA INPUT'!G74)^0.9573,FALSE)))))</f>
        <v>0</v>
      </c>
      <c r="E70" s="8" t="b">
        <f>IF('DATA INPUT'!B74="T. ser",5.0562*('DATA INPUT'!H74*'DATA INPUT'!I74)^0.9574,IF('DATA INPUT'!B74="S. mel",44047*('DATA INPUT'!H74*'DATA INPUT'!I74)^1.5456/1000,IF('DATA INPUT'!B74="V. ref",91930*('DATA INPUT'!H74*'DATA INPUT'!I74)^1.7774/1000,IF('DATA INPUT'!B74=1,62601*('DATA INPUT'!H74*'DATA INPUT'!I74)^1.6463/1000,IF('DATA INPUT'!B74=2,5.0562*('DATA INPUT'!H74*'DATA INPUT'!I74)^0.9574,FALSE)))))</f>
        <v>0</v>
      </c>
      <c r="F70" s="18" t="b">
        <f>IF('DATA INPUT'!B74="T. ser",0.0009*I70^0.4477,IF('DATA INPUT'!B74="S. mel",0.0000004*I70^1.4912/1000,IF('DATA INPUT'!B74="V. ref",0.00000005*I70^1.6284/1000,IF('DATA INPUT'!B74=1,0.0000007*I70^1.4601/1000,IF('DATA INPUT'!B74=2,0.0009*I70^0.4477,FALSE)))))</f>
        <v>0</v>
      </c>
      <c r="G70" s="57">
        <f t="shared" si="10"/>
        <v>0</v>
      </c>
      <c r="H70" s="57"/>
      <c r="I70" s="2" t="b">
        <f>IF('DATA INPUT'!B74="T. ser",3.142*'DATA INPUT'!N74^2*'DATA INPUT'!O74/3+3.142*'DATA INPUT'!P74^2/3*(3*'DATA INPUT'!N74-'DATA INPUT'!P74),IF('DATA INPUT'!B74="S. mel",3.142*'DATA INPUT'!N74^2*'DATA INPUT'!O74/3+3.142*'DATA INPUT'!P74^2/3*(3*'DATA INPUT'!N74-'DATA INPUT'!P74),IF('DATA INPUT'!B74="V. ref",3.142*'DATA INPUT'!N74^2*'DATA INPUT'!O74/3+3.142*'DATA INPUT'!P74^2/3*(3*'DATA INPUT'!N74-'DATA INPUT'!P74),IF('DATA INPUT'!B74=1,3.142*'DATA INPUT'!N74^2*'DATA INPUT'!O74/3+3.142*'DATA INPUT'!P74^2/3*(3*'DATA INPUT'!N74-'DATA INPUT'!P74),IF('DATA INPUT'!B74=2,3.142*'DATA INPUT'!N74^2*'DATA INPUT'!O74/3+3.142*'DATA INPUT'!P74^2/3*(3*'DATA INPUT'!N74-'DATA INPUT'!P74),FALSE)))))</f>
        <v>0</v>
      </c>
      <c r="J70" s="2" t="b">
        <f>IF('DATA INPUT'!B74="T. ser",0.0458*CALCULATIONS!I70^0.6841,IF('DATA INPUT'!B74="S. mel",0.6047*CALCULATIONS!I70^0.6433,IF('DATA INPUT'!B74="V. ref",0.77086*CALCULATIONS!I70^0.4936,IF('DATA INPUT'!B74=1,0.68778*CALCULATIONS!I70^0.56845,IF('DATA INPUT'!B74=2,0.0458*CALCULATIONS!I70^0.6841,FALSE)))))</f>
        <v>0</v>
      </c>
      <c r="K70" s="3">
        <f t="shared" si="8"/>
        <v>0</v>
      </c>
      <c r="L70" s="3" t="b">
        <f>IF('DATA INPUT'!B74="T. ser",('DATA INPUT'!D74+'DATA INPUT'!F74+'DATA INPUT'!H74+'DATA INPUT'!J74)/1.5,IF('DATA INPUT'!B74="V. ref",('DATA INPUT'!D74+'DATA INPUT'!F74+'DATA INPUT'!H74+'DATA INPUT'!J74)/1.5,IF('DATA INPUT'!B74="S. mel",('DATA INPUT'!D74+'DATA INPUT'!F74+'DATA INPUT'!H74+'DATA INPUT'!J74)/1.5,IF('DATA INPUT'!B74=1,('DATA INPUT'!D74+'DATA INPUT'!F74+'DATA INPUT'!H74+'DATA INPUT'!J74)/1.5,IF('DATA INPUT'!B74=2,('DATA INPUT'!D74+'DATA INPUT'!F74+'DATA INPUT'!H74+'DATA INPUT'!J74)/1.5,FALSE)))))</f>
        <v>0</v>
      </c>
      <c r="N70" s="16">
        <f>'DATA INPUT'!C74</f>
        <v>0</v>
      </c>
      <c r="O70" s="3" t="b">
        <f>IF('DATA INPUT'!B74="T. ser",0.3446*'DATA INPUT'!D74^1.0619,IF('DATA INPUT'!B74="S. mel",(1270.6*'DATA INPUT'!D74^2.0933)/1000,IF('DATA INPUT'!B74="V. ref",(816.25*'DATA INPUT'!D74^2.1754)/1000,IF('DATA INPUT'!B74=1,(1492.4*'DATA INPUT'!D74^1.7591)/1000,IF('DATA INPUT'!B74=2,0.3446*'DATA INPUT'!D74^1.0619,FALSE)))))</f>
        <v>0</v>
      </c>
      <c r="P70" s="3" t="b">
        <f>IF('DATA INPUT'!B74="T. ser",0.3662*'DATA INPUT'!E74^1.5061,IF('DATA INPUT'!B74="S. mel",(748.47*'DATA INPUT'!E74^2.2691)/1000,IF('DATA INPUT'!B74="V. ref",(953.69*'DATA INPUT'!E74^1.9524)/1000,IF('DATA INPUT'!B74=1,(695.02*'DATA INPUT'!E74^2.3452)/1000,IF('DATA INPUT'!B74=2,0.3662*'DATA INPUT'!E74^1.5061,FALSE)))))</f>
        <v>0</v>
      </c>
      <c r="Q70" s="3" t="b">
        <f>IF('DATA INPUT'!B74="T. ser",0.1225*('DATA INPUT'!F74*'DATA INPUT'!G74)^0.8272,IF('DATA INPUT'!B74="S. mel",(925.08*('DATA INPUT'!F74*'DATA INPUT'!G74)^1.1603)/1000,IF('DATA INPUT'!B74="V. ref",(776.29*('DATA INPUT'!F74*'DATA INPUT'!G74)^1.1226)/1000,IF('DATA INPUT'!B74=1,(884.6*('DATA INPUT'!F74*'DATA INPUT'!G74)^1.129)/1000,IF('DATA INPUT'!B74=2,0.1225*('DATA INPUT'!F74*'DATA INPUT'!G74)^0.8272,FALSE)))))</f>
        <v>0</v>
      </c>
      <c r="R70" s="3" t="b">
        <f>IF('DATA INPUT'!B74="T. ser",5.5287*('DATA INPUT'!H74*'DATA INPUT'!I74)^0.8272,IF('DATA INPUT'!B74="S. mel",(31469*('DATA INPUT'!H74*'DATA INPUT'!I74)^0.8608)/1000,IF('DATA INPUT'!B74="V. ref",(39394*('DATA INPUT'!H74*'DATA INPUT'!I74)^1.005)/1000,IF('DATA INPUT'!B74=1,(31791*('DATA INPUT'!H74*'DATA INPUT'!I74)^0.8467)/1000,IF('DATA INPUT'!B74=2,5.5287*('DATA INPUT'!H74*'DATA INPUT'!I74)^0.8272,FALSE)))))</f>
        <v>0</v>
      </c>
      <c r="S70" s="3" t="b">
        <f>IF('DATA INPUT'!B74="T. ser",0.0005*I70^0.5148,IF('DATA INPUT'!B74="S. mel",0.051*I70^0.7789/1000,IF('DATA INPUT'!B74="V. ref",0.0958*I70^0.7253/1000,IF('DATA INPUT'!B74=1,0.0426*I70^0.786/1000,IF('DATA INPUT'!B74=2,0.0005*I70^0.5148,FALSE)))))</f>
        <v>0</v>
      </c>
      <c r="T70" s="59">
        <f t="shared" si="9"/>
        <v>0</v>
      </c>
    </row>
    <row r="71" spans="1:20" x14ac:dyDescent="0.2">
      <c r="A71" s="218">
        <f>'DATA INPUT'!C75</f>
        <v>0</v>
      </c>
      <c r="B71" s="11" t="b">
        <f>IF('DATA INPUT'!B75="T. ser",0.1656*'DATA INPUT'!D75^1.4655,IF('DATA INPUT'!B75="S. mel",135.53*'DATA INPUT'!D75^3.8701/1000,IF('DATA INPUT'!B75="V. ref",143.01*'DATA INPUT'!D75^3.3147/1000,IF('DATA INPUT'!B75=1,143.35*'DATA INPUT'!D75^3.6046/1000,IF('DATA INPUT'!B75=2,0.1656*'DATA INPUT'!D75^1.4655,FALSE)))))</f>
        <v>0</v>
      </c>
      <c r="C71" s="8" t="b">
        <f>IF('DATA INPUT'!B75="T. ser",0.3356*'DATA INPUT'!E75^0.9984,IF('DATA INPUT'!B75="S. mel",24.906*'DATA INPUT'!E75^4.7681/1000,IF('DATA INPUT'!B75="V. ref",118.45*'DATA INPUT'!E75^3.5959/1000,IF('DATA INPUT'!B75=1,55.075*'DATA INPUT'!E75^4.0991/1000,IF('DATA INPUT'!B75=2,0.3356*'DATA INPUT'!E75^0.9984,FALSE)))))</f>
        <v>0</v>
      </c>
      <c r="D71" s="18" t="b">
        <f>IF('DATA INPUT'!B75="T. ser",0.0615*('DATA INPUT'!F75*'DATA INPUT'!G75)^0.9573,IF('DATA INPUT'!B75="S. mel",46.162*('DATA INPUT'!F75*'DATA INPUT'!G75)^2.3652/1000,IF('DATA INPUT'!B75="V. ref",90.34*('DATA INPUT'!F75*'DATA INPUT'!G75)^1.9756/1000,IF('DATA INPUT'!B75=1,63.022*('DATA INPUT'!F75*'DATA INPUT'!G75)^2.1551/1000,IF('DATA INPUT'!B75=2,0.0615*('DATA INPUT'!F75*'DATA INPUT'!G75)^0.9573,FALSE)))))</f>
        <v>0</v>
      </c>
      <c r="E71" s="8" t="b">
        <f>IF('DATA INPUT'!B75="T. ser",5.0562*('DATA INPUT'!H75*'DATA INPUT'!I75)^0.9574,IF('DATA INPUT'!B75="S. mel",44047*('DATA INPUT'!H75*'DATA INPUT'!I75)^1.5456/1000,IF('DATA INPUT'!B75="V. ref",91930*('DATA INPUT'!H75*'DATA INPUT'!I75)^1.7774/1000,IF('DATA INPUT'!B75=1,62601*('DATA INPUT'!H75*'DATA INPUT'!I75)^1.6463/1000,IF('DATA INPUT'!B75=2,5.0562*('DATA INPUT'!H75*'DATA INPUT'!I75)^0.9574,FALSE)))))</f>
        <v>0</v>
      </c>
      <c r="F71" s="18" t="b">
        <f>IF('DATA INPUT'!B75="T. ser",0.0009*I71^0.4477,IF('DATA INPUT'!B75="S. mel",0.0000004*I71^1.4912/1000,IF('DATA INPUT'!B75="V. ref",0.00000005*I71^1.6284/1000,IF('DATA INPUT'!B75=1,0.0000007*I71^1.4601/1000,IF('DATA INPUT'!B75=2,0.0009*I71^0.4477,FALSE)))))</f>
        <v>0</v>
      </c>
      <c r="G71" s="57">
        <f t="shared" si="10"/>
        <v>0</v>
      </c>
      <c r="H71" s="57"/>
      <c r="I71" s="2" t="b">
        <f>IF('DATA INPUT'!B75="T. ser",3.142*'DATA INPUT'!N75^2*'DATA INPUT'!O75/3+3.142*'DATA INPUT'!P75^2/3*(3*'DATA INPUT'!N75-'DATA INPUT'!P75),IF('DATA INPUT'!B75="S. mel",3.142*'DATA INPUT'!N75^2*'DATA INPUT'!O75/3+3.142*'DATA INPUT'!P75^2/3*(3*'DATA INPUT'!N75-'DATA INPUT'!P75),IF('DATA INPUT'!B75="V. ref",3.142*'DATA INPUT'!N75^2*'DATA INPUT'!O75/3+3.142*'DATA INPUT'!P75^2/3*(3*'DATA INPUT'!N75-'DATA INPUT'!P75),IF('DATA INPUT'!B75=1,3.142*'DATA INPUT'!N75^2*'DATA INPUT'!O75/3+3.142*'DATA INPUT'!P75^2/3*(3*'DATA INPUT'!N75-'DATA INPUT'!P75),IF('DATA INPUT'!B75=2,3.142*'DATA INPUT'!N75^2*'DATA INPUT'!O75/3+3.142*'DATA INPUT'!P75^2/3*(3*'DATA INPUT'!N75-'DATA INPUT'!P75),FALSE)))))</f>
        <v>0</v>
      </c>
      <c r="J71" s="2" t="b">
        <f>IF('DATA INPUT'!B75="T. ser",0.0458*CALCULATIONS!I71^0.6841,IF('DATA INPUT'!B75="S. mel",0.6047*CALCULATIONS!I71^0.6433,IF('DATA INPUT'!B75="V. ref",0.77086*CALCULATIONS!I71^0.4936,IF('DATA INPUT'!B75=1,0.68778*CALCULATIONS!I71^0.56845,IF('DATA INPUT'!B75=2,0.0458*CALCULATIONS!I71^0.6841,FALSE)))))</f>
        <v>0</v>
      </c>
      <c r="K71" s="3">
        <f t="shared" si="8"/>
        <v>0</v>
      </c>
      <c r="L71" s="3" t="b">
        <f>IF('DATA INPUT'!B75="T. ser",('DATA INPUT'!D75+'DATA INPUT'!F75+'DATA INPUT'!H75+'DATA INPUT'!J75)/1.5,IF('DATA INPUT'!B75="V. ref",('DATA INPUT'!D75+'DATA INPUT'!F75+'DATA INPUT'!H75+'DATA INPUT'!J75)/1.5,IF('DATA INPUT'!B75="S. mel",('DATA INPUT'!D75+'DATA INPUT'!F75+'DATA INPUT'!H75+'DATA INPUT'!J75)/1.5,IF('DATA INPUT'!B75=1,('DATA INPUT'!D75+'DATA INPUT'!F75+'DATA INPUT'!H75+'DATA INPUT'!J75)/1.5,IF('DATA INPUT'!B75=2,('DATA INPUT'!D75+'DATA INPUT'!F75+'DATA INPUT'!H75+'DATA INPUT'!J75)/1.5,FALSE)))))</f>
        <v>0</v>
      </c>
      <c r="N71" s="16">
        <f>'DATA INPUT'!C75</f>
        <v>0</v>
      </c>
      <c r="O71" s="3" t="b">
        <f>IF('DATA INPUT'!B75="T. ser",0.3446*'DATA INPUT'!D75^1.0619,IF('DATA INPUT'!B75="S. mel",(1270.6*'DATA INPUT'!D75^2.0933)/1000,IF('DATA INPUT'!B75="V. ref",(816.25*'DATA INPUT'!D75^2.1754)/1000,IF('DATA INPUT'!B75=1,(1492.4*'DATA INPUT'!D75^1.7591)/1000,IF('DATA INPUT'!B75=2,0.3446*'DATA INPUT'!D75^1.0619,FALSE)))))</f>
        <v>0</v>
      </c>
      <c r="P71" s="3" t="b">
        <f>IF('DATA INPUT'!B75="T. ser",0.3662*'DATA INPUT'!E75^1.5061,IF('DATA INPUT'!B75="S. mel",(748.47*'DATA INPUT'!E75^2.2691)/1000,IF('DATA INPUT'!B75="V. ref",(953.69*'DATA INPUT'!E75^1.9524)/1000,IF('DATA INPUT'!B75=1,(695.02*'DATA INPUT'!E75^2.3452)/1000,IF('DATA INPUT'!B75=2,0.3662*'DATA INPUT'!E75^1.5061,FALSE)))))</f>
        <v>0</v>
      </c>
      <c r="Q71" s="3" t="b">
        <f>IF('DATA INPUT'!B75="T. ser",0.1225*('DATA INPUT'!F75*'DATA INPUT'!G75)^0.8272,IF('DATA INPUT'!B75="S. mel",(925.08*('DATA INPUT'!F75*'DATA INPUT'!G75)^1.1603)/1000,IF('DATA INPUT'!B75="V. ref",(776.29*('DATA INPUT'!F75*'DATA INPUT'!G75)^1.1226)/1000,IF('DATA INPUT'!B75=1,(884.6*('DATA INPUT'!F75*'DATA INPUT'!G75)^1.129)/1000,IF('DATA INPUT'!B75=2,0.1225*('DATA INPUT'!F75*'DATA INPUT'!G75)^0.8272,FALSE)))))</f>
        <v>0</v>
      </c>
      <c r="R71" s="3" t="b">
        <f>IF('DATA INPUT'!B75="T. ser",5.5287*('DATA INPUT'!H75*'DATA INPUT'!I75)^0.8272,IF('DATA INPUT'!B75="S. mel",(31469*('DATA INPUT'!H75*'DATA INPUT'!I75)^0.8608)/1000,IF('DATA INPUT'!B75="V. ref",(39394*('DATA INPUT'!H75*'DATA INPUT'!I75)^1.005)/1000,IF('DATA INPUT'!B75=1,(31791*('DATA INPUT'!H75*'DATA INPUT'!I75)^0.8467)/1000,IF('DATA INPUT'!B75=2,5.5287*('DATA INPUT'!H75*'DATA INPUT'!I75)^0.8272,FALSE)))))</f>
        <v>0</v>
      </c>
      <c r="S71" s="3" t="b">
        <f>IF('DATA INPUT'!B75="T. ser",0.0005*I71^0.5148,IF('DATA INPUT'!B75="S. mel",0.051*I71^0.7789/1000,IF('DATA INPUT'!B75="V. ref",0.0958*I71^0.7253/1000,IF('DATA INPUT'!B75=1,0.0426*I71^0.786/1000,IF('DATA INPUT'!B75=2,0.0005*I71^0.5148,FALSE)))))</f>
        <v>0</v>
      </c>
      <c r="T71" s="59">
        <f t="shared" si="9"/>
        <v>0</v>
      </c>
    </row>
    <row r="72" spans="1:20" x14ac:dyDescent="0.2">
      <c r="A72" s="218">
        <f>'DATA INPUT'!C76</f>
        <v>0</v>
      </c>
      <c r="B72" s="11" t="b">
        <f>IF('DATA INPUT'!B76="T. ser",0.1656*'DATA INPUT'!D76^1.4655,IF('DATA INPUT'!B76="S. mel",135.53*'DATA INPUT'!D76^3.8701/1000,IF('DATA INPUT'!B76="V. ref",143.01*'DATA INPUT'!D76^3.3147/1000,IF('DATA INPUT'!B76=1,143.35*'DATA INPUT'!D76^3.6046/1000,IF('DATA INPUT'!B76=2,0.1656*'DATA INPUT'!D76^1.4655,FALSE)))))</f>
        <v>0</v>
      </c>
      <c r="C72" s="8" t="b">
        <f>IF('DATA INPUT'!B76="T. ser",0.3356*'DATA INPUT'!E76^0.9984,IF('DATA INPUT'!B76="S. mel",24.906*'DATA INPUT'!E76^4.7681/1000,IF('DATA INPUT'!B76="V. ref",118.45*'DATA INPUT'!E76^3.5959/1000,IF('DATA INPUT'!B76=1,55.075*'DATA INPUT'!E76^4.0991/1000,IF('DATA INPUT'!B76=2,0.3356*'DATA INPUT'!E76^0.9984,FALSE)))))</f>
        <v>0</v>
      </c>
      <c r="D72" s="18" t="b">
        <f>IF('DATA INPUT'!B76="T. ser",0.0615*('DATA INPUT'!F76*'DATA INPUT'!G76)^0.9573,IF('DATA INPUT'!B76="S. mel",46.162*('DATA INPUT'!F76*'DATA INPUT'!G76)^2.3652/1000,IF('DATA INPUT'!B76="V. ref",90.34*('DATA INPUT'!F76*'DATA INPUT'!G76)^1.9756/1000,IF('DATA INPUT'!B76=1,63.022*('DATA INPUT'!F76*'DATA INPUT'!G76)^2.1551/1000,IF('DATA INPUT'!B76=2,0.0615*('DATA INPUT'!F76*'DATA INPUT'!G76)^0.9573,FALSE)))))</f>
        <v>0</v>
      </c>
      <c r="E72" s="8" t="b">
        <f>IF('DATA INPUT'!B76="T. ser",5.0562*('DATA INPUT'!H76*'DATA INPUT'!I76)^0.9574,IF('DATA INPUT'!B76="S. mel",44047*('DATA INPUT'!H76*'DATA INPUT'!I76)^1.5456/1000,IF('DATA INPUT'!B76="V. ref",91930*('DATA INPUT'!H76*'DATA INPUT'!I76)^1.7774/1000,IF('DATA INPUT'!B76=1,62601*('DATA INPUT'!H76*'DATA INPUT'!I76)^1.6463/1000,IF('DATA INPUT'!B76=2,5.0562*('DATA INPUT'!H76*'DATA INPUT'!I76)^0.9574,FALSE)))))</f>
        <v>0</v>
      </c>
      <c r="F72" s="18" t="b">
        <f>IF('DATA INPUT'!B76="T. ser",0.0009*I72^0.4477,IF('DATA INPUT'!B76="S. mel",0.0000004*I72^1.4912/1000,IF('DATA INPUT'!B76="V. ref",0.00000005*I72^1.6284/1000,IF('DATA INPUT'!B76=1,0.0000007*I72^1.4601/1000,IF('DATA INPUT'!B76=2,0.0009*I72^0.4477,FALSE)))))</f>
        <v>0</v>
      </c>
      <c r="G72" s="57">
        <f t="shared" si="10"/>
        <v>0</v>
      </c>
      <c r="H72" s="57"/>
      <c r="I72" s="2" t="b">
        <f>IF('DATA INPUT'!B76="T. ser",3.142*'DATA INPUT'!N76^2*'DATA INPUT'!O76/3+3.142*'DATA INPUT'!P76^2/3*(3*'DATA INPUT'!N76-'DATA INPUT'!P76),IF('DATA INPUT'!B76="S. mel",3.142*'DATA INPUT'!N76^2*'DATA INPUT'!O76/3+3.142*'DATA INPUT'!P76^2/3*(3*'DATA INPUT'!N76-'DATA INPUT'!P76),IF('DATA INPUT'!B76="V. ref",3.142*'DATA INPUT'!N76^2*'DATA INPUT'!O76/3+3.142*'DATA INPUT'!P76^2/3*(3*'DATA INPUT'!N76-'DATA INPUT'!P76),IF('DATA INPUT'!B76=1,3.142*'DATA INPUT'!N76^2*'DATA INPUT'!O76/3+3.142*'DATA INPUT'!P76^2/3*(3*'DATA INPUT'!N76-'DATA INPUT'!P76),IF('DATA INPUT'!B76=2,3.142*'DATA INPUT'!N76^2*'DATA INPUT'!O76/3+3.142*'DATA INPUT'!P76^2/3*(3*'DATA INPUT'!N76-'DATA INPUT'!P76),FALSE)))))</f>
        <v>0</v>
      </c>
      <c r="J72" s="2" t="b">
        <f>IF('DATA INPUT'!B76="T. ser",0.0458*CALCULATIONS!I72^0.6841,IF('DATA INPUT'!B76="S. mel",0.6047*CALCULATIONS!I72^0.6433,IF('DATA INPUT'!B76="V. ref",0.77086*CALCULATIONS!I72^0.4936,IF('DATA INPUT'!B76=1,0.68778*CALCULATIONS!I72^0.56845,IF('DATA INPUT'!B76=2,0.0458*CALCULATIONS!I72^0.6841,FALSE)))))</f>
        <v>0</v>
      </c>
      <c r="K72" s="3">
        <f t="shared" si="8"/>
        <v>0</v>
      </c>
      <c r="L72" s="3" t="b">
        <f>IF('DATA INPUT'!B76="T. ser",('DATA INPUT'!D76+'DATA INPUT'!F76+'DATA INPUT'!H76+'DATA INPUT'!J76)/1.5,IF('DATA INPUT'!B76="V. ref",('DATA INPUT'!D76+'DATA INPUT'!F76+'DATA INPUT'!H76+'DATA INPUT'!J76)/1.5,IF('DATA INPUT'!B76="S. mel",('DATA INPUT'!D76+'DATA INPUT'!F76+'DATA INPUT'!H76+'DATA INPUT'!J76)/1.5,IF('DATA INPUT'!B76=1,('DATA INPUT'!D76+'DATA INPUT'!F76+'DATA INPUT'!H76+'DATA INPUT'!J76)/1.5,IF('DATA INPUT'!B76=2,('DATA INPUT'!D76+'DATA INPUT'!F76+'DATA INPUT'!H76+'DATA INPUT'!J76)/1.5,FALSE)))))</f>
        <v>0</v>
      </c>
      <c r="N72" s="16">
        <f>'DATA INPUT'!C76</f>
        <v>0</v>
      </c>
      <c r="O72" s="3" t="b">
        <f>IF('DATA INPUT'!B76="T. ser",0.3446*'DATA INPUT'!D76^1.0619,IF('DATA INPUT'!B76="S. mel",(1270.6*'DATA INPUT'!D76^2.0933)/1000,IF('DATA INPUT'!B76="V. ref",(816.25*'DATA INPUT'!D76^2.1754)/1000,IF('DATA INPUT'!B76=1,(1492.4*'DATA INPUT'!D76^1.7591)/1000,IF('DATA INPUT'!B76=2,0.3446*'DATA INPUT'!D76^1.0619,FALSE)))))</f>
        <v>0</v>
      </c>
      <c r="P72" s="3" t="b">
        <f>IF('DATA INPUT'!B76="T. ser",0.3662*'DATA INPUT'!E76^1.5061,IF('DATA INPUT'!B76="S. mel",(748.47*'DATA INPUT'!E76^2.2691)/1000,IF('DATA INPUT'!B76="V. ref",(953.69*'DATA INPUT'!E76^1.9524)/1000,IF('DATA INPUT'!B76=1,(695.02*'DATA INPUT'!E76^2.3452)/1000,IF('DATA INPUT'!B76=2,0.3662*'DATA INPUT'!E76^1.5061,FALSE)))))</f>
        <v>0</v>
      </c>
      <c r="Q72" s="3" t="b">
        <f>IF('DATA INPUT'!B76="T. ser",0.1225*('DATA INPUT'!F76*'DATA INPUT'!G76)^0.8272,IF('DATA INPUT'!B76="S. mel",(925.08*('DATA INPUT'!F76*'DATA INPUT'!G76)^1.1603)/1000,IF('DATA INPUT'!B76="V. ref",(776.29*('DATA INPUT'!F76*'DATA INPUT'!G76)^1.1226)/1000,IF('DATA INPUT'!B76=1,(884.6*('DATA INPUT'!F76*'DATA INPUT'!G76)^1.129)/1000,IF('DATA INPUT'!B76=2,0.1225*('DATA INPUT'!F76*'DATA INPUT'!G76)^0.8272,FALSE)))))</f>
        <v>0</v>
      </c>
      <c r="R72" s="3" t="b">
        <f>IF('DATA INPUT'!B76="T. ser",5.5287*('DATA INPUT'!H76*'DATA INPUT'!I76)^0.8272,IF('DATA INPUT'!B76="S. mel",(31469*('DATA INPUT'!H76*'DATA INPUT'!I76)^0.8608)/1000,IF('DATA INPUT'!B76="V. ref",(39394*('DATA INPUT'!H76*'DATA INPUT'!I76)^1.005)/1000,IF('DATA INPUT'!B76=1,(31791*('DATA INPUT'!H76*'DATA INPUT'!I76)^0.8467)/1000,IF('DATA INPUT'!B76=2,5.5287*('DATA INPUT'!H76*'DATA INPUT'!I76)^0.8272,FALSE)))))</f>
        <v>0</v>
      </c>
      <c r="S72" s="3" t="b">
        <f>IF('DATA INPUT'!B76="T. ser",0.0005*I72^0.5148,IF('DATA INPUT'!B76="S. mel",0.051*I72^0.7789/1000,IF('DATA INPUT'!B76="V. ref",0.0958*I72^0.7253/1000,IF('DATA INPUT'!B76=1,0.0426*I72^0.786/1000,IF('DATA INPUT'!B76=2,0.0005*I72^0.5148,FALSE)))))</f>
        <v>0</v>
      </c>
      <c r="T72" s="59">
        <f t="shared" si="9"/>
        <v>0</v>
      </c>
    </row>
    <row r="73" spans="1:20" x14ac:dyDescent="0.2">
      <c r="A73" s="218">
        <f>'DATA INPUT'!C77</f>
        <v>0</v>
      </c>
      <c r="B73" s="11" t="b">
        <f>IF('DATA INPUT'!B77="T. ser",0.1656*'DATA INPUT'!D77^1.4655,IF('DATA INPUT'!B77="S. mel",135.53*'DATA INPUT'!D77^3.8701/1000,IF('DATA INPUT'!B77="V. ref",143.01*'DATA INPUT'!D77^3.3147/1000,IF('DATA INPUT'!B77=1,143.35*'DATA INPUT'!D77^3.6046/1000,IF('DATA INPUT'!B77=2,0.1656*'DATA INPUT'!D77^1.4655,FALSE)))))</f>
        <v>0</v>
      </c>
      <c r="C73" s="8" t="b">
        <f>IF('DATA INPUT'!B77="T. ser",0.3356*'DATA INPUT'!E77^0.9984,IF('DATA INPUT'!B77="S. mel",24.906*'DATA INPUT'!E77^4.7681/1000,IF('DATA INPUT'!B77="V. ref",118.45*'DATA INPUT'!E77^3.5959/1000,IF('DATA INPUT'!B77=1,55.075*'DATA INPUT'!E77^4.0991/1000,IF('DATA INPUT'!B77=2,0.3356*'DATA INPUT'!E77^0.9984,FALSE)))))</f>
        <v>0</v>
      </c>
      <c r="D73" s="18" t="b">
        <f>IF('DATA INPUT'!B77="T. ser",0.0615*('DATA INPUT'!F77*'DATA INPUT'!G77)^0.9573,IF('DATA INPUT'!B77="S. mel",46.162*('DATA INPUT'!F77*'DATA INPUT'!G77)^2.3652/1000,IF('DATA INPUT'!B77="V. ref",90.34*('DATA INPUT'!F77*'DATA INPUT'!G77)^1.9756/1000,IF('DATA INPUT'!B77=1,63.022*('DATA INPUT'!F77*'DATA INPUT'!G77)^2.1551/1000,IF('DATA INPUT'!B77=2,0.0615*('DATA INPUT'!F77*'DATA INPUT'!G77)^0.9573,FALSE)))))</f>
        <v>0</v>
      </c>
      <c r="E73" s="8" t="b">
        <f>IF('DATA INPUT'!B77="T. ser",5.0562*('DATA INPUT'!H77*'DATA INPUT'!I77)^0.9574,IF('DATA INPUT'!B77="S. mel",44047*('DATA INPUT'!H77*'DATA INPUT'!I77)^1.5456/1000,IF('DATA INPUT'!B77="V. ref",91930*('DATA INPUT'!H77*'DATA INPUT'!I77)^1.7774/1000,IF('DATA INPUT'!B77=1,62601*('DATA INPUT'!H77*'DATA INPUT'!I77)^1.6463/1000,IF('DATA INPUT'!B77=2,5.0562*('DATA INPUT'!H77*'DATA INPUT'!I77)^0.9574,FALSE)))))</f>
        <v>0</v>
      </c>
      <c r="F73" s="18" t="b">
        <f>IF('DATA INPUT'!B77="T. ser",0.0009*I73^0.4477,IF('DATA INPUT'!B77="S. mel",0.0000004*I73^1.4912/1000,IF('DATA INPUT'!B77="V. ref",0.00000005*I73^1.6284/1000,IF('DATA INPUT'!B77=1,0.0000007*I73^1.4601/1000,IF('DATA INPUT'!B77=2,0.0009*I73^0.4477,FALSE)))))</f>
        <v>0</v>
      </c>
      <c r="G73" s="57">
        <f t="shared" si="10"/>
        <v>0</v>
      </c>
      <c r="H73" s="57"/>
      <c r="I73" s="2" t="b">
        <f>IF('DATA INPUT'!B77="T. ser",3.142*'DATA INPUT'!N77^2*'DATA INPUT'!O77/3+3.142*'DATA INPUT'!P77^2/3*(3*'DATA INPUT'!N77-'DATA INPUT'!P77),IF('DATA INPUT'!B77="S. mel",3.142*'DATA INPUT'!N77^2*'DATA INPUT'!O77/3+3.142*'DATA INPUT'!P77^2/3*(3*'DATA INPUT'!N77-'DATA INPUT'!P77),IF('DATA INPUT'!B77="V. ref",3.142*'DATA INPUT'!N77^2*'DATA INPUT'!O77/3+3.142*'DATA INPUT'!P77^2/3*(3*'DATA INPUT'!N77-'DATA INPUT'!P77),IF('DATA INPUT'!B77=1,3.142*'DATA INPUT'!N77^2*'DATA INPUT'!O77/3+3.142*'DATA INPUT'!P77^2/3*(3*'DATA INPUT'!N77-'DATA INPUT'!P77),IF('DATA INPUT'!B77=2,3.142*'DATA INPUT'!N77^2*'DATA INPUT'!O77/3+3.142*'DATA INPUT'!P77^2/3*(3*'DATA INPUT'!N77-'DATA INPUT'!P77),FALSE)))))</f>
        <v>0</v>
      </c>
      <c r="J73" s="2" t="b">
        <f>IF('DATA INPUT'!B77="T. ser",0.0458*CALCULATIONS!I73^0.6841,IF('DATA INPUT'!B77="S. mel",0.6047*CALCULATIONS!I73^0.6433,IF('DATA INPUT'!B77="V. ref",0.77086*CALCULATIONS!I73^0.4936,IF('DATA INPUT'!B77=1,0.68778*CALCULATIONS!I73^0.56845,IF('DATA INPUT'!B77=2,0.0458*CALCULATIONS!I73^0.6841,FALSE)))))</f>
        <v>0</v>
      </c>
      <c r="K73" s="3">
        <f t="shared" si="8"/>
        <v>0</v>
      </c>
      <c r="L73" s="3" t="b">
        <f>IF('DATA INPUT'!B77="T. ser",('DATA INPUT'!D77+'DATA INPUT'!F77+'DATA INPUT'!H77+'DATA INPUT'!J77)/1.5,IF('DATA INPUT'!B77="V. ref",('DATA INPUT'!D77+'DATA INPUT'!F77+'DATA INPUT'!H77+'DATA INPUT'!J77)/1.5,IF('DATA INPUT'!B77="S. mel",('DATA INPUT'!D77+'DATA INPUT'!F77+'DATA INPUT'!H77+'DATA INPUT'!J77)/1.5,IF('DATA INPUT'!B77=1,('DATA INPUT'!D77+'DATA INPUT'!F77+'DATA INPUT'!H77+'DATA INPUT'!J77)/1.5,IF('DATA INPUT'!B77=2,('DATA INPUT'!D77+'DATA INPUT'!F77+'DATA INPUT'!H77+'DATA INPUT'!J77)/1.5,FALSE)))))</f>
        <v>0</v>
      </c>
      <c r="N73" s="16">
        <f>'DATA INPUT'!C77</f>
        <v>0</v>
      </c>
      <c r="O73" s="3" t="b">
        <f>IF('DATA INPUT'!B77="T. ser",0.3446*'DATA INPUT'!D77^1.0619,IF('DATA INPUT'!B77="S. mel",(1270.6*'DATA INPUT'!D77^2.0933)/1000,IF('DATA INPUT'!B77="V. ref",(816.25*'DATA INPUT'!D77^2.1754)/1000,IF('DATA INPUT'!B77=1,(1492.4*'DATA INPUT'!D77^1.7591)/1000,IF('DATA INPUT'!B77=2,0.3446*'DATA INPUT'!D77^1.0619,FALSE)))))</f>
        <v>0</v>
      </c>
      <c r="P73" s="3" t="b">
        <f>IF('DATA INPUT'!B77="T. ser",0.3662*'DATA INPUT'!E77^1.5061,IF('DATA INPUT'!B77="S. mel",(748.47*'DATA INPUT'!E77^2.2691)/1000,IF('DATA INPUT'!B77="V. ref",(953.69*'DATA INPUT'!E77^1.9524)/1000,IF('DATA INPUT'!B77=1,(695.02*'DATA INPUT'!E77^2.3452)/1000,IF('DATA INPUT'!B77=2,0.3662*'DATA INPUT'!E77^1.5061,FALSE)))))</f>
        <v>0</v>
      </c>
      <c r="Q73" s="3" t="b">
        <f>IF('DATA INPUT'!B77="T. ser",0.1225*('DATA INPUT'!F77*'DATA INPUT'!G77)^0.8272,IF('DATA INPUT'!B77="S. mel",(925.08*('DATA INPUT'!F77*'DATA INPUT'!G77)^1.1603)/1000,IF('DATA INPUT'!B77="V. ref",(776.29*('DATA INPUT'!F77*'DATA INPUT'!G77)^1.1226)/1000,IF('DATA INPUT'!B77=1,(884.6*('DATA INPUT'!F77*'DATA INPUT'!G77)^1.129)/1000,IF('DATA INPUT'!B77=2,0.1225*('DATA INPUT'!F77*'DATA INPUT'!G77)^0.8272,FALSE)))))</f>
        <v>0</v>
      </c>
      <c r="R73" s="3" t="b">
        <f>IF('DATA INPUT'!B77="T. ser",5.5287*('DATA INPUT'!H77*'DATA INPUT'!I77)^0.8272,IF('DATA INPUT'!B77="S. mel",(31469*('DATA INPUT'!H77*'DATA INPUT'!I77)^0.8608)/1000,IF('DATA INPUT'!B77="V. ref",(39394*('DATA INPUT'!H77*'DATA INPUT'!I77)^1.005)/1000,IF('DATA INPUT'!B77=1,(31791*('DATA INPUT'!H77*'DATA INPUT'!I77)^0.8467)/1000,IF('DATA INPUT'!B77=2,5.5287*('DATA INPUT'!H77*'DATA INPUT'!I77)^0.8272,FALSE)))))</f>
        <v>0</v>
      </c>
      <c r="S73" s="3" t="b">
        <f>IF('DATA INPUT'!B77="T. ser",0.0005*I73^0.5148,IF('DATA INPUT'!B77="S. mel",0.051*I73^0.7789/1000,IF('DATA INPUT'!B77="V. ref",0.0958*I73^0.7253/1000,IF('DATA INPUT'!B77=1,0.0426*I73^0.786/1000,IF('DATA INPUT'!B77=2,0.0005*I73^0.5148,FALSE)))))</f>
        <v>0</v>
      </c>
      <c r="T73" s="59">
        <f t="shared" si="9"/>
        <v>0</v>
      </c>
    </row>
    <row r="74" spans="1:20" x14ac:dyDescent="0.2">
      <c r="A74" s="218">
        <f>'DATA INPUT'!C78</f>
        <v>0</v>
      </c>
      <c r="B74" s="11" t="b">
        <f>IF('DATA INPUT'!B78="T. ser",0.1656*'DATA INPUT'!D78^1.4655,IF('DATA INPUT'!B78="S. mel",135.53*'DATA INPUT'!D78^3.8701/1000,IF('DATA INPUT'!B78="V. ref",143.01*'DATA INPUT'!D78^3.3147/1000,IF('DATA INPUT'!B78=1,143.35*'DATA INPUT'!D78^3.6046/1000,IF('DATA INPUT'!B78=2,0.1656*'DATA INPUT'!D78^1.4655,FALSE)))))</f>
        <v>0</v>
      </c>
      <c r="C74" s="8" t="b">
        <f>IF('DATA INPUT'!B78="T. ser",0.3356*'DATA INPUT'!E78^0.9984,IF('DATA INPUT'!B78="S. mel",24.906*'DATA INPUT'!E78^4.7681/1000,IF('DATA INPUT'!B78="V. ref",118.45*'DATA INPUT'!E78^3.5959/1000,IF('DATA INPUT'!B78=1,55.075*'DATA INPUT'!E78^4.0991/1000,IF('DATA INPUT'!B78=2,0.3356*'DATA INPUT'!E78^0.9984,FALSE)))))</f>
        <v>0</v>
      </c>
      <c r="D74" s="18" t="b">
        <f>IF('DATA INPUT'!B78="T. ser",0.0615*('DATA INPUT'!F78*'DATA INPUT'!G78)^0.9573,IF('DATA INPUT'!B78="S. mel",46.162*('DATA INPUT'!F78*'DATA INPUT'!G78)^2.3652/1000,IF('DATA INPUT'!B78="V. ref",90.34*('DATA INPUT'!F78*'DATA INPUT'!G78)^1.9756/1000,IF('DATA INPUT'!B78=1,63.022*('DATA INPUT'!F78*'DATA INPUT'!G78)^2.1551/1000,IF('DATA INPUT'!B78=2,0.0615*('DATA INPUT'!F78*'DATA INPUT'!G78)^0.9573,FALSE)))))</f>
        <v>0</v>
      </c>
      <c r="E74" s="8" t="b">
        <f>IF('DATA INPUT'!B78="T. ser",5.0562*('DATA INPUT'!H78*'DATA INPUT'!I78)^0.9574,IF('DATA INPUT'!B78="S. mel",44047*('DATA INPUT'!H78*'DATA INPUT'!I78)^1.5456/1000,IF('DATA INPUT'!B78="V. ref",91930*('DATA INPUT'!H78*'DATA INPUT'!I78)^1.7774/1000,IF('DATA INPUT'!B78=1,62601*('DATA INPUT'!H78*'DATA INPUT'!I78)^1.6463/1000,IF('DATA INPUT'!B78=2,5.0562*('DATA INPUT'!H78*'DATA INPUT'!I78)^0.9574,FALSE)))))</f>
        <v>0</v>
      </c>
      <c r="F74" s="18" t="b">
        <f>IF('DATA INPUT'!B78="T. ser",0.0009*I74^0.4477,IF('DATA INPUT'!B78="S. mel",0.0000004*I74^1.4912/1000,IF('DATA INPUT'!B78="V. ref",0.00000005*I74^1.6284/1000,IF('DATA INPUT'!B78=1,0.0000007*I74^1.4601/1000,IF('DATA INPUT'!B78=2,0.0009*I74^0.4477,FALSE)))))</f>
        <v>0</v>
      </c>
      <c r="G74" s="57">
        <f t="shared" si="10"/>
        <v>0</v>
      </c>
      <c r="H74" s="57"/>
      <c r="I74" s="2" t="b">
        <f>IF('DATA INPUT'!B78="T. ser",3.142*'DATA INPUT'!N78^2*'DATA INPUT'!O78/3+3.142*'DATA INPUT'!P78^2/3*(3*'DATA INPUT'!N78-'DATA INPUT'!P78),IF('DATA INPUT'!B78="S. mel",3.142*'DATA INPUT'!N78^2*'DATA INPUT'!O78/3+3.142*'DATA INPUT'!P78^2/3*(3*'DATA INPUT'!N78-'DATA INPUT'!P78),IF('DATA INPUT'!B78="V. ref",3.142*'DATA INPUT'!N78^2*'DATA INPUT'!O78/3+3.142*'DATA INPUT'!P78^2/3*(3*'DATA INPUT'!N78-'DATA INPUT'!P78),IF('DATA INPUT'!B78=1,3.142*'DATA INPUT'!N78^2*'DATA INPUT'!O78/3+3.142*'DATA INPUT'!P78^2/3*(3*'DATA INPUT'!N78-'DATA INPUT'!P78),IF('DATA INPUT'!B78=2,3.142*'DATA INPUT'!N78^2*'DATA INPUT'!O78/3+3.142*'DATA INPUT'!P78^2/3*(3*'DATA INPUT'!N78-'DATA INPUT'!P78),FALSE)))))</f>
        <v>0</v>
      </c>
      <c r="J74" s="2" t="b">
        <f>IF('DATA INPUT'!B78="T. ser",0.0458*CALCULATIONS!I74^0.6841,IF('DATA INPUT'!B78="S. mel",0.6047*CALCULATIONS!I74^0.6433,IF('DATA INPUT'!B78="V. ref",0.77086*CALCULATIONS!I74^0.4936,IF('DATA INPUT'!B78=1,0.68778*CALCULATIONS!I74^0.56845,IF('DATA INPUT'!B78=2,0.0458*CALCULATIONS!I74^0.6841,FALSE)))))</f>
        <v>0</v>
      </c>
      <c r="K74" s="3">
        <f t="shared" si="8"/>
        <v>0</v>
      </c>
      <c r="L74" s="3" t="b">
        <f>IF('DATA INPUT'!B78="T. ser",('DATA INPUT'!D78+'DATA INPUT'!F78+'DATA INPUT'!H78+'DATA INPUT'!J78)/1.5,IF('DATA INPUT'!B78="V. ref",('DATA INPUT'!D78+'DATA INPUT'!F78+'DATA INPUT'!H78+'DATA INPUT'!J78)/1.5,IF('DATA INPUT'!B78="S. mel",('DATA INPUT'!D78+'DATA INPUT'!F78+'DATA INPUT'!H78+'DATA INPUT'!J78)/1.5,IF('DATA INPUT'!B78=1,('DATA INPUT'!D78+'DATA INPUT'!F78+'DATA INPUT'!H78+'DATA INPUT'!J78)/1.5,IF('DATA INPUT'!B78=2,('DATA INPUT'!D78+'DATA INPUT'!F78+'DATA INPUT'!H78+'DATA INPUT'!J78)/1.5,FALSE)))))</f>
        <v>0</v>
      </c>
      <c r="N74" s="16">
        <f>'DATA INPUT'!C78</f>
        <v>0</v>
      </c>
      <c r="O74" s="3" t="b">
        <f>IF('DATA INPUT'!B78="T. ser",0.3446*'DATA INPUT'!D78^1.0619,IF('DATA INPUT'!B78="S. mel",(1270.6*'DATA INPUT'!D78^2.0933)/1000,IF('DATA INPUT'!B78="V. ref",(816.25*'DATA INPUT'!D78^2.1754)/1000,IF('DATA INPUT'!B78=1,(1492.4*'DATA INPUT'!D78^1.7591)/1000,IF('DATA INPUT'!B78=2,0.3446*'DATA INPUT'!D78^1.0619,FALSE)))))</f>
        <v>0</v>
      </c>
      <c r="P74" s="3" t="b">
        <f>IF('DATA INPUT'!B78="T. ser",0.3662*'DATA INPUT'!E78^1.5061,IF('DATA INPUT'!B78="S. mel",(748.47*'DATA INPUT'!E78^2.2691)/1000,IF('DATA INPUT'!B78="V. ref",(953.69*'DATA INPUT'!E78^1.9524)/1000,IF('DATA INPUT'!B78=1,(695.02*'DATA INPUT'!E78^2.3452)/1000,IF('DATA INPUT'!B78=2,0.3662*'DATA INPUT'!E78^1.5061,FALSE)))))</f>
        <v>0</v>
      </c>
      <c r="Q74" s="3" t="b">
        <f>IF('DATA INPUT'!B78="T. ser",0.1225*('DATA INPUT'!F78*'DATA INPUT'!G78)^0.8272,IF('DATA INPUT'!B78="S. mel",(925.08*('DATA INPUT'!F78*'DATA INPUT'!G78)^1.1603)/1000,IF('DATA INPUT'!B78="V. ref",(776.29*('DATA INPUT'!F78*'DATA INPUT'!G78)^1.1226)/1000,IF('DATA INPUT'!B78=1,(884.6*('DATA INPUT'!F78*'DATA INPUT'!G78)^1.129)/1000,IF('DATA INPUT'!B78=2,0.1225*('DATA INPUT'!F78*'DATA INPUT'!G78)^0.8272,FALSE)))))</f>
        <v>0</v>
      </c>
      <c r="R74" s="3" t="b">
        <f>IF('DATA INPUT'!B78="T. ser",5.5287*('DATA INPUT'!H78*'DATA INPUT'!I78)^0.8272,IF('DATA INPUT'!B78="S. mel",(31469*('DATA INPUT'!H78*'DATA INPUT'!I78)^0.8608)/1000,IF('DATA INPUT'!B78="V. ref",(39394*('DATA INPUT'!H78*'DATA INPUT'!I78)^1.005)/1000,IF('DATA INPUT'!B78=1,(31791*('DATA INPUT'!H78*'DATA INPUT'!I78)^0.8467)/1000,IF('DATA INPUT'!B78=2,5.5287*('DATA INPUT'!H78*'DATA INPUT'!I78)^0.8272,FALSE)))))</f>
        <v>0</v>
      </c>
      <c r="S74" s="3" t="b">
        <f>IF('DATA INPUT'!B78="T. ser",0.0005*I74^0.5148,IF('DATA INPUT'!B78="S. mel",0.051*I74^0.7789/1000,IF('DATA INPUT'!B78="V. ref",0.0958*I74^0.7253/1000,IF('DATA INPUT'!B78=1,0.0426*I74^0.786/1000,IF('DATA INPUT'!B78=2,0.0005*I74^0.5148,FALSE)))))</f>
        <v>0</v>
      </c>
      <c r="T74" s="59">
        <f t="shared" si="9"/>
        <v>0</v>
      </c>
    </row>
    <row r="75" spans="1:20" x14ac:dyDescent="0.2">
      <c r="A75" s="218">
        <f>'DATA INPUT'!C79</f>
        <v>0</v>
      </c>
      <c r="B75" s="11" t="b">
        <f>IF('DATA INPUT'!B79="T. ser",0.1656*'DATA INPUT'!D79^1.4655,IF('DATA INPUT'!B79="S. mel",135.53*'DATA INPUT'!D79^3.8701/1000,IF('DATA INPUT'!B79="V. ref",143.01*'DATA INPUT'!D79^3.3147/1000,IF('DATA INPUT'!B79=1,143.35*'DATA INPUT'!D79^3.6046/1000,IF('DATA INPUT'!B79=2,0.1656*'DATA INPUT'!D79^1.4655,FALSE)))))</f>
        <v>0</v>
      </c>
      <c r="C75" s="8" t="b">
        <f>IF('DATA INPUT'!B79="T. ser",0.3356*'DATA INPUT'!E79^0.9984,IF('DATA INPUT'!B79="S. mel",24.906*'DATA INPUT'!E79^4.7681/1000,IF('DATA INPUT'!B79="V. ref",118.45*'DATA INPUT'!E79^3.5959/1000,IF('DATA INPUT'!B79=1,55.075*'DATA INPUT'!E79^4.0991/1000,IF('DATA INPUT'!B79=2,0.3356*'DATA INPUT'!E79^0.9984,FALSE)))))</f>
        <v>0</v>
      </c>
      <c r="D75" s="18" t="b">
        <f>IF('DATA INPUT'!B79="T. ser",0.0615*('DATA INPUT'!F79*'DATA INPUT'!G79)^0.9573,IF('DATA INPUT'!B79="S. mel",46.162*('DATA INPUT'!F79*'DATA INPUT'!G79)^2.3652/1000,IF('DATA INPUT'!B79="V. ref",90.34*('DATA INPUT'!F79*'DATA INPUT'!G79)^1.9756/1000,IF('DATA INPUT'!B79=1,63.022*('DATA INPUT'!F79*'DATA INPUT'!G79)^2.1551/1000,IF('DATA INPUT'!B79=2,0.0615*('DATA INPUT'!F79*'DATA INPUT'!G79)^0.9573,FALSE)))))</f>
        <v>0</v>
      </c>
      <c r="E75" s="8" t="b">
        <f>IF('DATA INPUT'!B79="T. ser",5.0562*('DATA INPUT'!H79*'DATA INPUT'!I79)^0.9574,IF('DATA INPUT'!B79="S. mel",44047*('DATA INPUT'!H79*'DATA INPUT'!I79)^1.5456/1000,IF('DATA INPUT'!B79="V. ref",91930*('DATA INPUT'!H79*'DATA INPUT'!I79)^1.7774/1000,IF('DATA INPUT'!B79=1,62601*('DATA INPUT'!H79*'DATA INPUT'!I79)^1.6463/1000,IF('DATA INPUT'!B79=2,5.0562*('DATA INPUT'!H79*'DATA INPUT'!I79)^0.9574,FALSE)))))</f>
        <v>0</v>
      </c>
      <c r="F75" s="18" t="b">
        <f>IF('DATA INPUT'!B79="T. ser",0.0009*I75^0.4477,IF('DATA INPUT'!B79="S. mel",0.0000004*I75^1.4912/1000,IF('DATA INPUT'!B79="V. ref",0.00000005*I75^1.6284/1000,IF('DATA INPUT'!B79=1,0.0000007*I75^1.4601/1000,IF('DATA INPUT'!B79=2,0.0009*I75^0.4477,FALSE)))))</f>
        <v>0</v>
      </c>
      <c r="G75" s="57">
        <f t="shared" si="10"/>
        <v>0</v>
      </c>
      <c r="H75" s="57"/>
      <c r="I75" s="2" t="b">
        <f>IF('DATA INPUT'!B79="T. ser",3.142*'DATA INPUT'!N79^2*'DATA INPUT'!O79/3+3.142*'DATA INPUT'!P79^2/3*(3*'DATA INPUT'!N79-'DATA INPUT'!P79),IF('DATA INPUT'!B79="S. mel",3.142*'DATA INPUT'!N79^2*'DATA INPUT'!O79/3+3.142*'DATA INPUT'!P79^2/3*(3*'DATA INPUT'!N79-'DATA INPUT'!P79),IF('DATA INPUT'!B79="V. ref",3.142*'DATA INPUT'!N79^2*'DATA INPUT'!O79/3+3.142*'DATA INPUT'!P79^2/3*(3*'DATA INPUT'!N79-'DATA INPUT'!P79),IF('DATA INPUT'!B79=1,3.142*'DATA INPUT'!N79^2*'DATA INPUT'!O79/3+3.142*'DATA INPUT'!P79^2/3*(3*'DATA INPUT'!N79-'DATA INPUT'!P79),IF('DATA INPUT'!B79=2,3.142*'DATA INPUT'!N79^2*'DATA INPUT'!O79/3+3.142*'DATA INPUT'!P79^2/3*(3*'DATA INPUT'!N79-'DATA INPUT'!P79),FALSE)))))</f>
        <v>0</v>
      </c>
      <c r="J75" s="2" t="b">
        <f>IF('DATA INPUT'!B79="T. ser",0.0458*CALCULATIONS!I75^0.6841,IF('DATA INPUT'!B79="S. mel",0.6047*CALCULATIONS!I75^0.6433,IF('DATA INPUT'!B79="V. ref",0.77086*CALCULATIONS!I75^0.4936,IF('DATA INPUT'!B79=1,0.68778*CALCULATIONS!I75^0.56845,IF('DATA INPUT'!B79=2,0.0458*CALCULATIONS!I75^0.6841,FALSE)))))</f>
        <v>0</v>
      </c>
      <c r="K75" s="3">
        <f t="shared" si="8"/>
        <v>0</v>
      </c>
      <c r="L75" s="3" t="b">
        <f>IF('DATA INPUT'!B79="T. ser",('DATA INPUT'!D79+'DATA INPUT'!F79+'DATA INPUT'!H79+'DATA INPUT'!J79)/1.5,IF('DATA INPUT'!B79="V. ref",('DATA INPUT'!D79+'DATA INPUT'!F79+'DATA INPUT'!H79+'DATA INPUT'!J79)/1.5,IF('DATA INPUT'!B79="S. mel",('DATA INPUT'!D79+'DATA INPUT'!F79+'DATA INPUT'!H79+'DATA INPUT'!J79)/1.5,IF('DATA INPUT'!B79=1,('DATA INPUT'!D79+'DATA INPUT'!F79+'DATA INPUT'!H79+'DATA INPUT'!J79)/1.5,IF('DATA INPUT'!B79=2,('DATA INPUT'!D79+'DATA INPUT'!F79+'DATA INPUT'!H79+'DATA INPUT'!J79)/1.5,FALSE)))))</f>
        <v>0</v>
      </c>
      <c r="N75" s="16">
        <f>'DATA INPUT'!C79</f>
        <v>0</v>
      </c>
      <c r="O75" s="3" t="b">
        <f>IF('DATA INPUT'!B79="T. ser",0.3446*'DATA INPUT'!D79^1.0619,IF('DATA INPUT'!B79="S. mel",(1270.6*'DATA INPUT'!D79^2.0933)/1000,IF('DATA INPUT'!B79="V. ref",(816.25*'DATA INPUT'!D79^2.1754)/1000,IF('DATA INPUT'!B79=1,(1492.4*'DATA INPUT'!D79^1.7591)/1000,IF('DATA INPUT'!B79=2,0.3446*'DATA INPUT'!D79^1.0619,FALSE)))))</f>
        <v>0</v>
      </c>
      <c r="P75" s="3" t="b">
        <f>IF('DATA INPUT'!B79="T. ser",0.3662*'DATA INPUT'!E79^1.5061,IF('DATA INPUT'!B79="S. mel",(748.47*'DATA INPUT'!E79^2.2691)/1000,IF('DATA INPUT'!B79="V. ref",(953.69*'DATA INPUT'!E79^1.9524)/1000,IF('DATA INPUT'!B79=1,(695.02*'DATA INPUT'!E79^2.3452)/1000,IF('DATA INPUT'!B79=2,0.3662*'DATA INPUT'!E79^1.5061,FALSE)))))</f>
        <v>0</v>
      </c>
      <c r="Q75" s="3" t="b">
        <f>IF('DATA INPUT'!B79="T. ser",0.1225*('DATA INPUT'!F79*'DATA INPUT'!G79)^0.8272,IF('DATA INPUT'!B79="S. mel",(925.08*('DATA INPUT'!F79*'DATA INPUT'!G79)^1.1603)/1000,IF('DATA INPUT'!B79="V. ref",(776.29*('DATA INPUT'!F79*'DATA INPUT'!G79)^1.1226)/1000,IF('DATA INPUT'!B79=1,(884.6*('DATA INPUT'!F79*'DATA INPUT'!G79)^1.129)/1000,IF('DATA INPUT'!B79=2,0.1225*('DATA INPUT'!F79*'DATA INPUT'!G79)^0.8272,FALSE)))))</f>
        <v>0</v>
      </c>
      <c r="R75" s="3" t="b">
        <f>IF('DATA INPUT'!B79="T. ser",5.5287*('DATA INPUT'!H79*'DATA INPUT'!I79)^0.8272,IF('DATA INPUT'!B79="S. mel",(31469*('DATA INPUT'!H79*'DATA INPUT'!I79)^0.8608)/1000,IF('DATA INPUT'!B79="V. ref",(39394*('DATA INPUT'!H79*'DATA INPUT'!I79)^1.005)/1000,IF('DATA INPUT'!B79=1,(31791*('DATA INPUT'!H79*'DATA INPUT'!I79)^0.8467)/1000,IF('DATA INPUT'!B79=2,5.5287*('DATA INPUT'!H79*'DATA INPUT'!I79)^0.8272,FALSE)))))</f>
        <v>0</v>
      </c>
      <c r="S75" s="3" t="b">
        <f>IF('DATA INPUT'!B79="T. ser",0.0005*I75^0.5148,IF('DATA INPUT'!B79="S. mel",0.051*I75^0.7789/1000,IF('DATA INPUT'!B79="V. ref",0.0958*I75^0.7253/1000,IF('DATA INPUT'!B79=1,0.0426*I75^0.786/1000,IF('DATA INPUT'!B79=2,0.0005*I75^0.5148,FALSE)))))</f>
        <v>0</v>
      </c>
      <c r="T75" s="59">
        <f t="shared" si="9"/>
        <v>0</v>
      </c>
    </row>
    <row r="76" spans="1:20" x14ac:dyDescent="0.2">
      <c r="A76" s="218">
        <f>'DATA INPUT'!C80</f>
        <v>0</v>
      </c>
      <c r="B76" s="11" t="b">
        <f>IF('DATA INPUT'!B80="T. ser",0.1656*'DATA INPUT'!D80^1.4655,IF('DATA INPUT'!B80="S. mel",135.53*'DATA INPUT'!D80^3.8701/1000,IF('DATA INPUT'!B80="V. ref",143.01*'DATA INPUT'!D80^3.3147/1000,IF('DATA INPUT'!B80=1,143.35*'DATA INPUT'!D80^3.6046/1000,IF('DATA INPUT'!B80=2,0.1656*'DATA INPUT'!D80^1.4655,FALSE)))))</f>
        <v>0</v>
      </c>
      <c r="C76" s="8" t="b">
        <f>IF('DATA INPUT'!B80="T. ser",0.3356*'DATA INPUT'!E80^0.9984,IF('DATA INPUT'!B80="S. mel",24.906*'DATA INPUT'!E80^4.7681/1000,IF('DATA INPUT'!B80="V. ref",118.45*'DATA INPUT'!E80^3.5959/1000,IF('DATA INPUT'!B80=1,55.075*'DATA INPUT'!E80^4.0991/1000,IF('DATA INPUT'!B80=2,0.3356*'DATA INPUT'!E80^0.9984,FALSE)))))</f>
        <v>0</v>
      </c>
      <c r="D76" s="18" t="b">
        <f>IF('DATA INPUT'!B80="T. ser",0.0615*('DATA INPUT'!F80*'DATA INPUT'!G80)^0.9573,IF('DATA INPUT'!B80="S. mel",46.162*('DATA INPUT'!F80*'DATA INPUT'!G80)^2.3652/1000,IF('DATA INPUT'!B80="V. ref",90.34*('DATA INPUT'!F80*'DATA INPUT'!G80)^1.9756/1000,IF('DATA INPUT'!B80=1,63.022*('DATA INPUT'!F80*'DATA INPUT'!G80)^2.1551/1000,IF('DATA INPUT'!B80=2,0.0615*('DATA INPUT'!F80*'DATA INPUT'!G80)^0.9573,FALSE)))))</f>
        <v>0</v>
      </c>
      <c r="E76" s="8" t="b">
        <f>IF('DATA INPUT'!B80="T. ser",5.0562*('DATA INPUT'!H80*'DATA INPUT'!I80)^0.9574,IF('DATA INPUT'!B80="S. mel",44047*('DATA INPUT'!H80*'DATA INPUT'!I80)^1.5456/1000,IF('DATA INPUT'!B80="V. ref",91930*('DATA INPUT'!H80*'DATA INPUT'!I80)^1.7774/1000,IF('DATA INPUT'!B80=1,62601*('DATA INPUT'!H80*'DATA INPUT'!I80)^1.6463/1000,IF('DATA INPUT'!B80=2,5.0562*('DATA INPUT'!H80*'DATA INPUT'!I80)^0.9574,FALSE)))))</f>
        <v>0</v>
      </c>
      <c r="F76" s="18" t="b">
        <f>IF('DATA INPUT'!B80="T. ser",0.0009*I76^0.4477,IF('DATA INPUT'!B80="S. mel",0.0000004*I76^1.4912/1000,IF('DATA INPUT'!B80="V. ref",0.00000005*I76^1.6284/1000,IF('DATA INPUT'!B80=1,0.0000007*I76^1.4601/1000,IF('DATA INPUT'!B80=2,0.0009*I76^0.4477,FALSE)))))</f>
        <v>0</v>
      </c>
      <c r="G76" s="57">
        <f t="shared" si="10"/>
        <v>0</v>
      </c>
      <c r="H76" s="57"/>
      <c r="I76" s="2" t="b">
        <f>IF('DATA INPUT'!B80="T. ser",3.142*'DATA INPUT'!N80^2*'DATA INPUT'!O80/3+3.142*'DATA INPUT'!P80^2/3*(3*'DATA INPUT'!N80-'DATA INPUT'!P80),IF('DATA INPUT'!B80="S. mel",3.142*'DATA INPUT'!N80^2*'DATA INPUT'!O80/3+3.142*'DATA INPUT'!P80^2/3*(3*'DATA INPUT'!N80-'DATA INPUT'!P80),IF('DATA INPUT'!B80="V. ref",3.142*'DATA INPUT'!N80^2*'DATA INPUT'!O80/3+3.142*'DATA INPUT'!P80^2/3*(3*'DATA INPUT'!N80-'DATA INPUT'!P80),IF('DATA INPUT'!B80=1,3.142*'DATA INPUT'!N80^2*'DATA INPUT'!O80/3+3.142*'DATA INPUT'!P80^2/3*(3*'DATA INPUT'!N80-'DATA INPUT'!P80),IF('DATA INPUT'!B80=2,3.142*'DATA INPUT'!N80^2*'DATA INPUT'!O80/3+3.142*'DATA INPUT'!P80^2/3*(3*'DATA INPUT'!N80-'DATA INPUT'!P80),FALSE)))))</f>
        <v>0</v>
      </c>
      <c r="J76" s="2" t="b">
        <f>IF('DATA INPUT'!B80="T. ser",0.0458*CALCULATIONS!I76^0.6841,IF('DATA INPUT'!B80="S. mel",0.6047*CALCULATIONS!I76^0.6433,IF('DATA INPUT'!B80="V. ref",0.77086*CALCULATIONS!I76^0.4936,IF('DATA INPUT'!B80=1,0.68778*CALCULATIONS!I76^0.56845,IF('DATA INPUT'!B80=2,0.0458*CALCULATIONS!I76^0.6841,FALSE)))))</f>
        <v>0</v>
      </c>
      <c r="K76" s="3">
        <f t="shared" si="8"/>
        <v>0</v>
      </c>
      <c r="L76" s="3" t="b">
        <f>IF('DATA INPUT'!B80="T. ser",('DATA INPUT'!D80+'DATA INPUT'!F80+'DATA INPUT'!H80+'DATA INPUT'!J80)/1.5,IF('DATA INPUT'!B80="V. ref",('DATA INPUT'!D80+'DATA INPUT'!F80+'DATA INPUT'!H80+'DATA INPUT'!J80)/1.5,IF('DATA INPUT'!B80="S. mel",('DATA INPUT'!D80+'DATA INPUT'!F80+'DATA INPUT'!H80+'DATA INPUT'!J80)/1.5,IF('DATA INPUT'!B80=1,('DATA INPUT'!D80+'DATA INPUT'!F80+'DATA INPUT'!H80+'DATA INPUT'!J80)/1.5,IF('DATA INPUT'!B80=2,('DATA INPUT'!D80+'DATA INPUT'!F80+'DATA INPUT'!H80+'DATA INPUT'!J80)/1.5,FALSE)))))</f>
        <v>0</v>
      </c>
      <c r="N76" s="16">
        <f>'DATA INPUT'!C80</f>
        <v>0</v>
      </c>
      <c r="O76" s="3" t="b">
        <f>IF('DATA INPUT'!B80="T. ser",0.3446*'DATA INPUT'!D80^1.0619,IF('DATA INPUT'!B80="S. mel",(1270.6*'DATA INPUT'!D80^2.0933)/1000,IF('DATA INPUT'!B80="V. ref",(816.25*'DATA INPUT'!D80^2.1754)/1000,IF('DATA INPUT'!B80=1,(1492.4*'DATA INPUT'!D80^1.7591)/1000,IF('DATA INPUT'!B80=2,0.3446*'DATA INPUT'!D80^1.0619,FALSE)))))</f>
        <v>0</v>
      </c>
      <c r="P76" s="3" t="b">
        <f>IF('DATA INPUT'!B80="T. ser",0.3662*'DATA INPUT'!E80^1.5061,IF('DATA INPUT'!B80="S. mel",(748.47*'DATA INPUT'!E80^2.2691)/1000,IF('DATA INPUT'!B80="V. ref",(953.69*'DATA INPUT'!E80^1.9524)/1000,IF('DATA INPUT'!B80=1,(695.02*'DATA INPUT'!E80^2.3452)/1000,IF('DATA INPUT'!B80=2,0.3662*'DATA INPUT'!E80^1.5061,FALSE)))))</f>
        <v>0</v>
      </c>
      <c r="Q76" s="3" t="b">
        <f>IF('DATA INPUT'!B80="T. ser",0.1225*('DATA INPUT'!F80*'DATA INPUT'!G80)^0.8272,IF('DATA INPUT'!B80="S. mel",(925.08*('DATA INPUT'!F80*'DATA INPUT'!G80)^1.1603)/1000,IF('DATA INPUT'!B80="V. ref",(776.29*('DATA INPUT'!F80*'DATA INPUT'!G80)^1.1226)/1000,IF('DATA INPUT'!B80=1,(884.6*('DATA INPUT'!F80*'DATA INPUT'!G80)^1.129)/1000,IF('DATA INPUT'!B80=2,0.1225*('DATA INPUT'!F80*'DATA INPUT'!G80)^0.8272,FALSE)))))</f>
        <v>0</v>
      </c>
      <c r="R76" s="3" t="b">
        <f>IF('DATA INPUT'!B80="T. ser",5.5287*('DATA INPUT'!H80*'DATA INPUT'!I80)^0.8272,IF('DATA INPUT'!B80="S. mel",(31469*('DATA INPUT'!H80*'DATA INPUT'!I80)^0.8608)/1000,IF('DATA INPUT'!B80="V. ref",(39394*('DATA INPUT'!H80*'DATA INPUT'!I80)^1.005)/1000,IF('DATA INPUT'!B80=1,(31791*('DATA INPUT'!H80*'DATA INPUT'!I80)^0.8467)/1000,IF('DATA INPUT'!B80=2,5.5287*('DATA INPUT'!H80*'DATA INPUT'!I80)^0.8272,FALSE)))))</f>
        <v>0</v>
      </c>
      <c r="S76" s="3" t="b">
        <f>IF('DATA INPUT'!B80="T. ser",0.0005*I76^0.5148,IF('DATA INPUT'!B80="S. mel",0.051*I76^0.7789/1000,IF('DATA INPUT'!B80="V. ref",0.0958*I76^0.7253/1000,IF('DATA INPUT'!B80=1,0.0426*I76^0.786/1000,IF('DATA INPUT'!B80=2,0.0005*I76^0.5148,FALSE)))))</f>
        <v>0</v>
      </c>
      <c r="T76" s="59">
        <f t="shared" si="9"/>
        <v>0</v>
      </c>
    </row>
    <row r="77" spans="1:20" x14ac:dyDescent="0.2">
      <c r="A77" s="218">
        <f>'DATA INPUT'!C81</f>
        <v>0</v>
      </c>
      <c r="B77" s="11" t="b">
        <f>IF('DATA INPUT'!B81="T. ser",0.1656*'DATA INPUT'!D81^1.4655,IF('DATA INPUT'!B81="S. mel",135.53*'DATA INPUT'!D81^3.8701/1000,IF('DATA INPUT'!B81="V. ref",143.01*'DATA INPUT'!D81^3.3147/1000,IF('DATA INPUT'!B81=1,143.35*'DATA INPUT'!D81^3.6046/1000,IF('DATA INPUT'!B81=2,0.1656*'DATA INPUT'!D81^1.4655,FALSE)))))</f>
        <v>0</v>
      </c>
      <c r="C77" s="8" t="b">
        <f>IF('DATA INPUT'!B81="T. ser",0.3356*'DATA INPUT'!E81^0.9984,IF('DATA INPUT'!B81="S. mel",24.906*'DATA INPUT'!E81^4.7681/1000,IF('DATA INPUT'!B81="V. ref",118.45*'DATA INPUT'!E81^3.5959/1000,IF('DATA INPUT'!B81=1,55.075*'DATA INPUT'!E81^4.0991/1000,IF('DATA INPUT'!B81=2,0.3356*'DATA INPUT'!E81^0.9984,FALSE)))))</f>
        <v>0</v>
      </c>
      <c r="D77" s="18" t="b">
        <f>IF('DATA INPUT'!B81="T. ser",0.0615*('DATA INPUT'!F81*'DATA INPUT'!G81)^0.9573,IF('DATA INPUT'!B81="S. mel",46.162*('DATA INPUT'!F81*'DATA INPUT'!G81)^2.3652/1000,IF('DATA INPUT'!B81="V. ref",90.34*('DATA INPUT'!F81*'DATA INPUT'!G81)^1.9756/1000,IF('DATA INPUT'!B81=1,63.022*('DATA INPUT'!F81*'DATA INPUT'!G81)^2.1551/1000,IF('DATA INPUT'!B81=2,0.0615*('DATA INPUT'!F81*'DATA INPUT'!G81)^0.9573,FALSE)))))</f>
        <v>0</v>
      </c>
      <c r="E77" s="8" t="b">
        <f>IF('DATA INPUT'!B81="T. ser",5.0562*('DATA INPUT'!H81*'DATA INPUT'!I81)^0.9574,IF('DATA INPUT'!B81="S. mel",44047*('DATA INPUT'!H81*'DATA INPUT'!I81)^1.5456/1000,IF('DATA INPUT'!B81="V. ref",91930*('DATA INPUT'!H81*'DATA INPUT'!I81)^1.7774/1000,IF('DATA INPUT'!B81=1,62601*('DATA INPUT'!H81*'DATA INPUT'!I81)^1.6463/1000,IF('DATA INPUT'!B81=2,5.0562*('DATA INPUT'!H81*'DATA INPUT'!I81)^0.9574,FALSE)))))</f>
        <v>0</v>
      </c>
      <c r="F77" s="18" t="b">
        <f>IF('DATA INPUT'!B81="T. ser",0.0009*I77^0.4477,IF('DATA INPUT'!B81="S. mel",0.0000004*I77^1.4912/1000,IF('DATA INPUT'!B81="V. ref",0.00000005*I77^1.6284/1000,IF('DATA INPUT'!B81=1,0.0000007*I77^1.4601/1000,IF('DATA INPUT'!B81=2,0.0009*I77^0.4477,FALSE)))))</f>
        <v>0</v>
      </c>
      <c r="G77" s="57">
        <f t="shared" si="10"/>
        <v>0</v>
      </c>
      <c r="H77" s="57"/>
      <c r="I77" s="2" t="b">
        <f>IF('DATA INPUT'!B81="T. ser",3.142*'DATA INPUT'!N81^2*'DATA INPUT'!O81/3+3.142*'DATA INPUT'!P81^2/3*(3*'DATA INPUT'!N81-'DATA INPUT'!P81),IF('DATA INPUT'!B81="S. mel",3.142*'DATA INPUT'!N81^2*'DATA INPUT'!O81/3+3.142*'DATA INPUT'!P81^2/3*(3*'DATA INPUT'!N81-'DATA INPUT'!P81),IF('DATA INPUT'!B81="V. ref",3.142*'DATA INPUT'!N81^2*'DATA INPUT'!O81/3+3.142*'DATA INPUT'!P81^2/3*(3*'DATA INPUT'!N81-'DATA INPUT'!P81),IF('DATA INPUT'!B81=1,3.142*'DATA INPUT'!N81^2*'DATA INPUT'!O81/3+3.142*'DATA INPUT'!P81^2/3*(3*'DATA INPUT'!N81-'DATA INPUT'!P81),IF('DATA INPUT'!B81=2,3.142*'DATA INPUT'!N81^2*'DATA INPUT'!O81/3+3.142*'DATA INPUT'!P81^2/3*(3*'DATA INPUT'!N81-'DATA INPUT'!P81),FALSE)))))</f>
        <v>0</v>
      </c>
      <c r="J77" s="2" t="b">
        <f>IF('DATA INPUT'!B81="T. ser",0.0458*CALCULATIONS!I77^0.6841,IF('DATA INPUT'!B81="S. mel",0.6047*CALCULATIONS!I77^0.6433,IF('DATA INPUT'!B81="V. ref",0.77086*CALCULATIONS!I77^0.4936,IF('DATA INPUT'!B81=1,0.68778*CALCULATIONS!I77^0.56845,IF('DATA INPUT'!B81=2,0.0458*CALCULATIONS!I77^0.6841,FALSE)))))</f>
        <v>0</v>
      </c>
      <c r="K77" s="3">
        <f t="shared" si="8"/>
        <v>0</v>
      </c>
      <c r="L77" s="3" t="b">
        <f>IF('DATA INPUT'!B81="T. ser",('DATA INPUT'!D81+'DATA INPUT'!F81+'DATA INPUT'!H81+'DATA INPUT'!J81)/1.5,IF('DATA INPUT'!B81="V. ref",('DATA INPUT'!D81+'DATA INPUT'!F81+'DATA INPUT'!H81+'DATA INPUT'!J81)/1.5,IF('DATA INPUT'!B81="S. mel",('DATA INPUT'!D81+'DATA INPUT'!F81+'DATA INPUT'!H81+'DATA INPUT'!J81)/1.5,IF('DATA INPUT'!B81=1,('DATA INPUT'!D81+'DATA INPUT'!F81+'DATA INPUT'!H81+'DATA INPUT'!J81)/1.5,IF('DATA INPUT'!B81=2,('DATA INPUT'!D81+'DATA INPUT'!F81+'DATA INPUT'!H81+'DATA INPUT'!J81)/1.5,FALSE)))))</f>
        <v>0</v>
      </c>
      <c r="N77" s="16">
        <f>'DATA INPUT'!C81</f>
        <v>0</v>
      </c>
      <c r="O77" s="3" t="b">
        <f>IF('DATA INPUT'!B81="T. ser",0.3446*'DATA INPUT'!D81^1.0619,IF('DATA INPUT'!B81="S. mel",(1270.6*'DATA INPUT'!D81^2.0933)/1000,IF('DATA INPUT'!B81="V. ref",(816.25*'DATA INPUT'!D81^2.1754)/1000,IF('DATA INPUT'!B81=1,(1492.4*'DATA INPUT'!D81^1.7591)/1000,IF('DATA INPUT'!B81=2,0.3446*'DATA INPUT'!D81^1.0619,FALSE)))))</f>
        <v>0</v>
      </c>
      <c r="P77" s="3" t="b">
        <f>IF('DATA INPUT'!B81="T. ser",0.3662*'DATA INPUT'!E81^1.5061,IF('DATA INPUT'!B81="S. mel",(748.47*'DATA INPUT'!E81^2.2691)/1000,IF('DATA INPUT'!B81="V. ref",(953.69*'DATA INPUT'!E81^1.9524)/1000,IF('DATA INPUT'!B81=1,(695.02*'DATA INPUT'!E81^2.3452)/1000,IF('DATA INPUT'!B81=2,0.3662*'DATA INPUT'!E81^1.5061,FALSE)))))</f>
        <v>0</v>
      </c>
      <c r="Q77" s="3" t="b">
        <f>IF('DATA INPUT'!B81="T. ser",0.1225*('DATA INPUT'!F81*'DATA INPUT'!G81)^0.8272,IF('DATA INPUT'!B81="S. mel",(925.08*('DATA INPUT'!F81*'DATA INPUT'!G81)^1.1603)/1000,IF('DATA INPUT'!B81="V. ref",(776.29*('DATA INPUT'!F81*'DATA INPUT'!G81)^1.1226)/1000,IF('DATA INPUT'!B81=1,(884.6*('DATA INPUT'!F81*'DATA INPUT'!G81)^1.129)/1000,IF('DATA INPUT'!B81=2,0.1225*('DATA INPUT'!F81*'DATA INPUT'!G81)^0.8272,FALSE)))))</f>
        <v>0</v>
      </c>
      <c r="R77" s="3" t="b">
        <f>IF('DATA INPUT'!B81="T. ser",5.5287*('DATA INPUT'!H81*'DATA INPUT'!I81)^0.8272,IF('DATA INPUT'!B81="S. mel",(31469*('DATA INPUT'!H81*'DATA INPUT'!I81)^0.8608)/1000,IF('DATA INPUT'!B81="V. ref",(39394*('DATA INPUT'!H81*'DATA INPUT'!I81)^1.005)/1000,IF('DATA INPUT'!B81=1,(31791*('DATA INPUT'!H81*'DATA INPUT'!I81)^0.8467)/1000,IF('DATA INPUT'!B81=2,5.5287*('DATA INPUT'!H81*'DATA INPUT'!I81)^0.8272,FALSE)))))</f>
        <v>0</v>
      </c>
      <c r="S77" s="3" t="b">
        <f>IF('DATA INPUT'!B81="T. ser",0.0005*I77^0.5148,IF('DATA INPUT'!B81="S. mel",0.051*I77^0.7789/1000,IF('DATA INPUT'!B81="V. ref",0.0958*I77^0.7253/1000,IF('DATA INPUT'!B81=1,0.0426*I77^0.786/1000,IF('DATA INPUT'!B81=2,0.0005*I77^0.5148,FALSE)))))</f>
        <v>0</v>
      </c>
      <c r="T77" s="59">
        <f t="shared" si="9"/>
        <v>0</v>
      </c>
    </row>
    <row r="78" spans="1:20" x14ac:dyDescent="0.2">
      <c r="A78" s="218">
        <f>'DATA INPUT'!C82</f>
        <v>0</v>
      </c>
      <c r="B78" s="11" t="b">
        <f>IF('DATA INPUT'!B82="T. ser",0.1656*'DATA INPUT'!D82^1.4655,IF('DATA INPUT'!B82="S. mel",135.53*'DATA INPUT'!D82^3.8701/1000,IF('DATA INPUT'!B82="V. ref",143.01*'DATA INPUT'!D82^3.3147/1000,IF('DATA INPUT'!B82=1,143.35*'DATA INPUT'!D82^3.6046/1000,IF('DATA INPUT'!B82=2,0.1656*'DATA INPUT'!D82^1.4655,FALSE)))))</f>
        <v>0</v>
      </c>
      <c r="C78" s="8" t="b">
        <f>IF('DATA INPUT'!B82="T. ser",0.3356*'DATA INPUT'!E82^0.9984,IF('DATA INPUT'!B82="S. mel",24.906*'DATA INPUT'!E82^4.7681/1000,IF('DATA INPUT'!B82="V. ref",118.45*'DATA INPUT'!E82^3.5959/1000,IF('DATA INPUT'!B82=1,55.075*'DATA INPUT'!E82^4.0991/1000,IF('DATA INPUT'!B82=2,0.3356*'DATA INPUT'!E82^0.9984,FALSE)))))</f>
        <v>0</v>
      </c>
      <c r="D78" s="18" t="b">
        <f>IF('DATA INPUT'!B82="T. ser",0.0615*('DATA INPUT'!F82*'DATA INPUT'!G82)^0.9573,IF('DATA INPUT'!B82="S. mel",46.162*('DATA INPUT'!F82*'DATA INPUT'!G82)^2.3652/1000,IF('DATA INPUT'!B82="V. ref",90.34*('DATA INPUT'!F82*'DATA INPUT'!G82)^1.9756/1000,IF('DATA INPUT'!B82=1,63.022*('DATA INPUT'!F82*'DATA INPUT'!G82)^2.1551/1000,IF('DATA INPUT'!B82=2,0.0615*('DATA INPUT'!F82*'DATA INPUT'!G82)^0.9573,FALSE)))))</f>
        <v>0</v>
      </c>
      <c r="E78" s="8" t="b">
        <f>IF('DATA INPUT'!B82="T. ser",5.0562*('DATA INPUT'!H82*'DATA INPUT'!I82)^0.9574,IF('DATA INPUT'!B82="S. mel",44047*('DATA INPUT'!H82*'DATA INPUT'!I82)^1.5456/1000,IF('DATA INPUT'!B82="V. ref",91930*('DATA INPUT'!H82*'DATA INPUT'!I82)^1.7774/1000,IF('DATA INPUT'!B82=1,62601*('DATA INPUT'!H82*'DATA INPUT'!I82)^1.6463/1000,IF('DATA INPUT'!B82=2,5.0562*('DATA INPUT'!H82*'DATA INPUT'!I82)^0.9574,FALSE)))))</f>
        <v>0</v>
      </c>
      <c r="F78" s="18" t="b">
        <f>IF('DATA INPUT'!B82="T. ser",0.0009*I78^0.4477,IF('DATA INPUT'!B82="S. mel",0.0000004*I78^1.4912/1000,IF('DATA INPUT'!B82="V. ref",0.00000005*I78^1.6284/1000,IF('DATA INPUT'!B82=1,0.0000007*I78^1.4601/1000,IF('DATA INPUT'!B82=2,0.0009*I78^0.4477,FALSE)))))</f>
        <v>0</v>
      </c>
      <c r="G78" s="57">
        <f t="shared" si="10"/>
        <v>0</v>
      </c>
      <c r="H78" s="57"/>
      <c r="I78" s="2" t="b">
        <f>IF('DATA INPUT'!B82="T. ser",3.142*'DATA INPUT'!N82^2*'DATA INPUT'!O82/3+3.142*'DATA INPUT'!P82^2/3*(3*'DATA INPUT'!N82-'DATA INPUT'!P82),IF('DATA INPUT'!B82="S. mel",3.142*'DATA INPUT'!N82^2*'DATA INPUT'!O82/3+3.142*'DATA INPUT'!P82^2/3*(3*'DATA INPUT'!N82-'DATA INPUT'!P82),IF('DATA INPUT'!B82="V. ref",3.142*'DATA INPUT'!N82^2*'DATA INPUT'!O82/3+3.142*'DATA INPUT'!P82^2/3*(3*'DATA INPUT'!N82-'DATA INPUT'!P82),IF('DATA INPUT'!B82=1,3.142*'DATA INPUT'!N82^2*'DATA INPUT'!O82/3+3.142*'DATA INPUT'!P82^2/3*(3*'DATA INPUT'!N82-'DATA INPUT'!P82),IF('DATA INPUT'!B82=2,3.142*'DATA INPUT'!N82^2*'DATA INPUT'!O82/3+3.142*'DATA INPUT'!P82^2/3*(3*'DATA INPUT'!N82-'DATA INPUT'!P82),FALSE)))))</f>
        <v>0</v>
      </c>
      <c r="J78" s="2" t="b">
        <f>IF('DATA INPUT'!B82="T. ser",0.0458*CALCULATIONS!I78^0.6841,IF('DATA INPUT'!B82="S. mel",0.6047*CALCULATIONS!I78^0.6433,IF('DATA INPUT'!B82="V. ref",0.77086*CALCULATIONS!I78^0.4936,IF('DATA INPUT'!B82=1,0.68778*CALCULATIONS!I78^0.56845,IF('DATA INPUT'!B82=2,0.0458*CALCULATIONS!I78^0.6841,FALSE)))))</f>
        <v>0</v>
      </c>
      <c r="K78" s="3">
        <f t="shared" si="8"/>
        <v>0</v>
      </c>
      <c r="L78" s="3" t="b">
        <f>IF('DATA INPUT'!B82="T. ser",('DATA INPUT'!D82+'DATA INPUT'!F82+'DATA INPUT'!H82+'DATA INPUT'!J82)/1.5,IF('DATA INPUT'!B82="V. ref",('DATA INPUT'!D82+'DATA INPUT'!F82+'DATA INPUT'!H82+'DATA INPUT'!J82)/1.5,IF('DATA INPUT'!B82="S. mel",('DATA INPUT'!D82+'DATA INPUT'!F82+'DATA INPUT'!H82+'DATA INPUT'!J82)/1.5,IF('DATA INPUT'!B82=1,('DATA INPUT'!D82+'DATA INPUT'!F82+'DATA INPUT'!H82+'DATA INPUT'!J82)/1.5,IF('DATA INPUT'!B82=2,('DATA INPUT'!D82+'DATA INPUT'!F82+'DATA INPUT'!H82+'DATA INPUT'!J82)/1.5,FALSE)))))</f>
        <v>0</v>
      </c>
      <c r="N78" s="16">
        <f>'DATA INPUT'!C82</f>
        <v>0</v>
      </c>
      <c r="O78" s="3" t="b">
        <f>IF('DATA INPUT'!B82="T. ser",0.3446*'DATA INPUT'!D82^1.0619,IF('DATA INPUT'!B82="S. mel",(1270.6*'DATA INPUT'!D82^2.0933)/1000,IF('DATA INPUT'!B82="V. ref",(816.25*'DATA INPUT'!D82^2.1754)/1000,IF('DATA INPUT'!B82=1,(1492.4*'DATA INPUT'!D82^1.7591)/1000,IF('DATA INPUT'!B82=2,0.3446*'DATA INPUT'!D82^1.0619,FALSE)))))</f>
        <v>0</v>
      </c>
      <c r="P78" s="3" t="b">
        <f>IF('DATA INPUT'!B82="T. ser",0.3662*'DATA INPUT'!E82^1.5061,IF('DATA INPUT'!B82="S. mel",(748.47*'DATA INPUT'!E82^2.2691)/1000,IF('DATA INPUT'!B82="V. ref",(953.69*'DATA INPUT'!E82^1.9524)/1000,IF('DATA INPUT'!B82=1,(695.02*'DATA INPUT'!E82^2.3452)/1000,IF('DATA INPUT'!B82=2,0.3662*'DATA INPUT'!E82^1.5061,FALSE)))))</f>
        <v>0</v>
      </c>
      <c r="Q78" s="3" t="b">
        <f>IF('DATA INPUT'!B82="T. ser",0.1225*('DATA INPUT'!F82*'DATA INPUT'!G82)^0.8272,IF('DATA INPUT'!B82="S. mel",(925.08*('DATA INPUT'!F82*'DATA INPUT'!G82)^1.1603)/1000,IF('DATA INPUT'!B82="V. ref",(776.29*('DATA INPUT'!F82*'DATA INPUT'!G82)^1.1226)/1000,IF('DATA INPUT'!B82=1,(884.6*('DATA INPUT'!F82*'DATA INPUT'!G82)^1.129)/1000,IF('DATA INPUT'!B82=2,0.1225*('DATA INPUT'!F82*'DATA INPUT'!G82)^0.8272,FALSE)))))</f>
        <v>0</v>
      </c>
      <c r="R78" s="3" t="b">
        <f>IF('DATA INPUT'!B82="T. ser",5.5287*('DATA INPUT'!H82*'DATA INPUT'!I82)^0.8272,IF('DATA INPUT'!B82="S. mel",(31469*('DATA INPUT'!H82*'DATA INPUT'!I82)^0.8608)/1000,IF('DATA INPUT'!B82="V. ref",(39394*('DATA INPUT'!H82*'DATA INPUT'!I82)^1.005)/1000,IF('DATA INPUT'!B82=1,(31791*('DATA INPUT'!H82*'DATA INPUT'!I82)^0.8467)/1000,IF('DATA INPUT'!B82=2,5.5287*('DATA INPUT'!H82*'DATA INPUT'!I82)^0.8272,FALSE)))))</f>
        <v>0</v>
      </c>
      <c r="S78" s="3" t="b">
        <f>IF('DATA INPUT'!B82="T. ser",0.0005*I78^0.5148,IF('DATA INPUT'!B82="S. mel",0.051*I78^0.7789/1000,IF('DATA INPUT'!B82="V. ref",0.0958*I78^0.7253/1000,IF('DATA INPUT'!B82=1,0.0426*I78^0.786/1000,IF('DATA INPUT'!B82=2,0.0005*I78^0.5148,FALSE)))))</f>
        <v>0</v>
      </c>
      <c r="T78" s="59">
        <f t="shared" si="9"/>
        <v>0</v>
      </c>
    </row>
    <row r="79" spans="1:20" x14ac:dyDescent="0.2">
      <c r="A79" s="218">
        <f>'DATA INPUT'!C83</f>
        <v>0</v>
      </c>
      <c r="B79" s="11" t="b">
        <f>IF('DATA INPUT'!B83="T. ser",0.1656*'DATA INPUT'!D83^1.4655,IF('DATA INPUT'!B83="S. mel",135.53*'DATA INPUT'!D83^3.8701/1000,IF('DATA INPUT'!B83="V. ref",143.01*'DATA INPUT'!D83^3.3147/1000,IF('DATA INPUT'!B83=1,143.35*'DATA INPUT'!D83^3.6046/1000,IF('DATA INPUT'!B83=2,0.1656*'DATA INPUT'!D83^1.4655,FALSE)))))</f>
        <v>0</v>
      </c>
      <c r="C79" s="8" t="b">
        <f>IF('DATA INPUT'!B83="T. ser",0.3356*'DATA INPUT'!E83^0.9984,IF('DATA INPUT'!B83="S. mel",24.906*'DATA INPUT'!E83^4.7681/1000,IF('DATA INPUT'!B83="V. ref",118.45*'DATA INPUT'!E83^3.5959/1000,IF('DATA INPUT'!B83=1,55.075*'DATA INPUT'!E83^4.0991/1000,IF('DATA INPUT'!B83=2,0.3356*'DATA INPUT'!E83^0.9984,FALSE)))))</f>
        <v>0</v>
      </c>
      <c r="D79" s="18" t="b">
        <f>IF('DATA INPUT'!B83="T. ser",0.0615*('DATA INPUT'!F83*'DATA INPUT'!G83)^0.9573,IF('DATA INPUT'!B83="S. mel",46.162*('DATA INPUT'!F83*'DATA INPUT'!G83)^2.3652/1000,IF('DATA INPUT'!B83="V. ref",90.34*('DATA INPUT'!F83*'DATA INPUT'!G83)^1.9756/1000,IF('DATA INPUT'!B83=1,63.022*('DATA INPUT'!F83*'DATA INPUT'!G83)^2.1551/1000,IF('DATA INPUT'!B83=2,0.0615*('DATA INPUT'!F83*'DATA INPUT'!G83)^0.9573,FALSE)))))</f>
        <v>0</v>
      </c>
      <c r="E79" s="8" t="b">
        <f>IF('DATA INPUT'!B83="T. ser",5.0562*('DATA INPUT'!H83*'DATA INPUT'!I83)^0.9574,IF('DATA INPUT'!B83="S. mel",44047*('DATA INPUT'!H83*'DATA INPUT'!I83)^1.5456/1000,IF('DATA INPUT'!B83="V. ref",91930*('DATA INPUT'!H83*'DATA INPUT'!I83)^1.7774/1000,IF('DATA INPUT'!B83=1,62601*('DATA INPUT'!H83*'DATA INPUT'!I83)^1.6463/1000,IF('DATA INPUT'!B83=2,5.0562*('DATA INPUT'!H83*'DATA INPUT'!I83)^0.9574,FALSE)))))</f>
        <v>0</v>
      </c>
      <c r="F79" s="18" t="b">
        <f>IF('DATA INPUT'!B83="T. ser",0.0009*I79^0.4477,IF('DATA INPUT'!B83="S. mel",0.0000004*I79^1.4912/1000,IF('DATA INPUT'!B83="V. ref",0.00000005*I79^1.6284/1000,IF('DATA INPUT'!B83=1,0.0000007*I79^1.4601/1000,IF('DATA INPUT'!B83=2,0.0009*I79^0.4477,FALSE)))))</f>
        <v>0</v>
      </c>
      <c r="G79" s="57">
        <f t="shared" si="10"/>
        <v>0</v>
      </c>
      <c r="H79" s="57"/>
      <c r="I79" s="2" t="b">
        <f>IF('DATA INPUT'!B83="T. ser",3.142*'DATA INPUT'!N83^2*'DATA INPUT'!O83/3+3.142*'DATA INPUT'!P83^2/3*(3*'DATA INPUT'!N83-'DATA INPUT'!P83),IF('DATA INPUT'!B83="S. mel",3.142*'DATA INPUT'!N83^2*'DATA INPUT'!O83/3+3.142*'DATA INPUT'!P83^2/3*(3*'DATA INPUT'!N83-'DATA INPUT'!P83),IF('DATA INPUT'!B83="V. ref",3.142*'DATA INPUT'!N83^2*'DATA INPUT'!O83/3+3.142*'DATA INPUT'!P83^2/3*(3*'DATA INPUT'!N83-'DATA INPUT'!P83),IF('DATA INPUT'!B83=1,3.142*'DATA INPUT'!N83^2*'DATA INPUT'!O83/3+3.142*'DATA INPUT'!P83^2/3*(3*'DATA INPUT'!N83-'DATA INPUT'!P83),IF('DATA INPUT'!B83=2,3.142*'DATA INPUT'!N83^2*'DATA INPUT'!O83/3+3.142*'DATA INPUT'!P83^2/3*(3*'DATA INPUT'!N83-'DATA INPUT'!P83),FALSE)))))</f>
        <v>0</v>
      </c>
      <c r="J79" s="2" t="b">
        <f>IF('DATA INPUT'!B83="T. ser",0.0458*CALCULATIONS!I79^0.6841,IF('DATA INPUT'!B83="S. mel",0.6047*CALCULATIONS!I79^0.6433,IF('DATA INPUT'!B83="V. ref",0.77086*CALCULATIONS!I79^0.4936,IF('DATA INPUT'!B83=1,0.68778*CALCULATIONS!I79^0.56845,IF('DATA INPUT'!B83=2,0.0458*CALCULATIONS!I79^0.6841,FALSE)))))</f>
        <v>0</v>
      </c>
      <c r="K79" s="3">
        <f t="shared" si="8"/>
        <v>0</v>
      </c>
      <c r="L79" s="3" t="b">
        <f>IF('DATA INPUT'!B83="T. ser",('DATA INPUT'!D83+'DATA INPUT'!F83+'DATA INPUT'!H83+'DATA INPUT'!J83)/1.5,IF('DATA INPUT'!B83="V. ref",('DATA INPUT'!D83+'DATA INPUT'!F83+'DATA INPUT'!H83+'DATA INPUT'!J83)/1.5,IF('DATA INPUT'!B83="S. mel",('DATA INPUT'!D83+'DATA INPUT'!F83+'DATA INPUT'!H83+'DATA INPUT'!J83)/1.5,IF('DATA INPUT'!B83=1,('DATA INPUT'!D83+'DATA INPUT'!F83+'DATA INPUT'!H83+'DATA INPUT'!J83)/1.5,IF('DATA INPUT'!B83=2,('DATA INPUT'!D83+'DATA INPUT'!F83+'DATA INPUT'!H83+'DATA INPUT'!J83)/1.5,FALSE)))))</f>
        <v>0</v>
      </c>
      <c r="N79" s="16">
        <f>'DATA INPUT'!C83</f>
        <v>0</v>
      </c>
      <c r="O79" s="3" t="b">
        <f>IF('DATA INPUT'!B83="T. ser",0.3446*'DATA INPUT'!D83^1.0619,IF('DATA INPUT'!B83="S. mel",(1270.6*'DATA INPUT'!D83^2.0933)/1000,IF('DATA INPUT'!B83="V. ref",(816.25*'DATA INPUT'!D83^2.1754)/1000,IF('DATA INPUT'!B83=1,(1492.4*'DATA INPUT'!D83^1.7591)/1000,IF('DATA INPUT'!B83=2,0.3446*'DATA INPUT'!D83^1.0619,FALSE)))))</f>
        <v>0</v>
      </c>
      <c r="P79" s="3" t="b">
        <f>IF('DATA INPUT'!B83="T. ser",0.3662*'DATA INPUT'!E83^1.5061,IF('DATA INPUT'!B83="S. mel",(748.47*'DATA INPUT'!E83^2.2691)/1000,IF('DATA INPUT'!B83="V. ref",(953.69*'DATA INPUT'!E83^1.9524)/1000,IF('DATA INPUT'!B83=1,(695.02*'DATA INPUT'!E83^2.3452)/1000,IF('DATA INPUT'!B83=2,0.3662*'DATA INPUT'!E83^1.5061,FALSE)))))</f>
        <v>0</v>
      </c>
      <c r="Q79" s="3" t="b">
        <f>IF('DATA INPUT'!B83="T. ser",0.1225*('DATA INPUT'!F83*'DATA INPUT'!G83)^0.8272,IF('DATA INPUT'!B83="S. mel",(925.08*('DATA INPUT'!F83*'DATA INPUT'!G83)^1.1603)/1000,IF('DATA INPUT'!B83="V. ref",(776.29*('DATA INPUT'!F83*'DATA INPUT'!G83)^1.1226)/1000,IF('DATA INPUT'!B83=1,(884.6*('DATA INPUT'!F83*'DATA INPUT'!G83)^1.129)/1000,IF('DATA INPUT'!B83=2,0.1225*('DATA INPUT'!F83*'DATA INPUT'!G83)^0.8272,FALSE)))))</f>
        <v>0</v>
      </c>
      <c r="R79" s="3" t="b">
        <f>IF('DATA INPUT'!B83="T. ser",5.5287*('DATA INPUT'!H83*'DATA INPUT'!I83)^0.8272,IF('DATA INPUT'!B83="S. mel",(31469*('DATA INPUT'!H83*'DATA INPUT'!I83)^0.8608)/1000,IF('DATA INPUT'!B83="V. ref",(39394*('DATA INPUT'!H83*'DATA INPUT'!I83)^1.005)/1000,IF('DATA INPUT'!B83=1,(31791*('DATA INPUT'!H83*'DATA INPUT'!I83)^0.8467)/1000,IF('DATA INPUT'!B83=2,5.5287*('DATA INPUT'!H83*'DATA INPUT'!I83)^0.8272,FALSE)))))</f>
        <v>0</v>
      </c>
      <c r="S79" s="3" t="b">
        <f>IF('DATA INPUT'!B83="T. ser",0.0005*I79^0.5148,IF('DATA INPUT'!B83="S. mel",0.051*I79^0.7789/1000,IF('DATA INPUT'!B83="V. ref",0.0958*I79^0.7253/1000,IF('DATA INPUT'!B83=1,0.0426*I79^0.786/1000,IF('DATA INPUT'!B83=2,0.0005*I79^0.5148,FALSE)))))</f>
        <v>0</v>
      </c>
      <c r="T79" s="59">
        <f t="shared" si="9"/>
        <v>0</v>
      </c>
    </row>
    <row r="80" spans="1:20" x14ac:dyDescent="0.2">
      <c r="A80" s="218">
        <f>'DATA INPUT'!C84</f>
        <v>0</v>
      </c>
      <c r="B80" s="11" t="b">
        <f>IF('DATA INPUT'!B84="T. ser",0.1656*'DATA INPUT'!D84^1.4655,IF('DATA INPUT'!B84="S. mel",135.53*'DATA INPUT'!D84^3.8701/1000,IF('DATA INPUT'!B84="V. ref",143.01*'DATA INPUT'!D84^3.3147/1000,IF('DATA INPUT'!B84=1,143.35*'DATA INPUT'!D84^3.6046/1000,IF('DATA INPUT'!B84=2,0.1656*'DATA INPUT'!D84^1.4655,FALSE)))))</f>
        <v>0</v>
      </c>
      <c r="C80" s="8" t="b">
        <f>IF('DATA INPUT'!B84="T. ser",0.3356*'DATA INPUT'!E84^0.9984,IF('DATA INPUT'!B84="S. mel",24.906*'DATA INPUT'!E84^4.7681/1000,IF('DATA INPUT'!B84="V. ref",118.45*'DATA INPUT'!E84^3.5959/1000,IF('DATA INPUT'!B84=1,55.075*'DATA INPUT'!E84^4.0991/1000,IF('DATA INPUT'!B84=2,0.3356*'DATA INPUT'!E84^0.9984,FALSE)))))</f>
        <v>0</v>
      </c>
      <c r="D80" s="18" t="b">
        <f>IF('DATA INPUT'!B84="T. ser",0.0615*('DATA INPUT'!F84*'DATA INPUT'!G84)^0.9573,IF('DATA INPUT'!B84="S. mel",46.162*('DATA INPUT'!F84*'DATA INPUT'!G84)^2.3652/1000,IF('DATA INPUT'!B84="V. ref",90.34*('DATA INPUT'!F84*'DATA INPUT'!G84)^1.9756/1000,IF('DATA INPUT'!B84=1,63.022*('DATA INPUT'!F84*'DATA INPUT'!G84)^2.1551/1000,IF('DATA INPUT'!B84=2,0.0615*('DATA INPUT'!F84*'DATA INPUT'!G84)^0.9573,FALSE)))))</f>
        <v>0</v>
      </c>
      <c r="E80" s="8" t="b">
        <f>IF('DATA INPUT'!B84="T. ser",5.0562*('DATA INPUT'!H84*'DATA INPUT'!I84)^0.9574,IF('DATA INPUT'!B84="S. mel",44047*('DATA INPUT'!H84*'DATA INPUT'!I84)^1.5456/1000,IF('DATA INPUT'!B84="V. ref",91930*('DATA INPUT'!H84*'DATA INPUT'!I84)^1.7774/1000,IF('DATA INPUT'!B84=1,62601*('DATA INPUT'!H84*'DATA INPUT'!I84)^1.6463/1000,IF('DATA INPUT'!B84=2,5.0562*('DATA INPUT'!H84*'DATA INPUT'!I84)^0.9574,FALSE)))))</f>
        <v>0</v>
      </c>
      <c r="F80" s="18" t="b">
        <f>IF('DATA INPUT'!B84="T. ser",0.0009*I80^0.4477,IF('DATA INPUT'!B84="S. mel",0.0000004*I80^1.4912/1000,IF('DATA INPUT'!B84="V. ref",0.00000005*I80^1.6284/1000,IF('DATA INPUT'!B84=1,0.0000007*I80^1.4601/1000,IF('DATA INPUT'!B84=2,0.0009*I80^0.4477,FALSE)))))</f>
        <v>0</v>
      </c>
      <c r="G80" s="57">
        <f t="shared" si="10"/>
        <v>0</v>
      </c>
      <c r="H80" s="57"/>
      <c r="I80" s="2" t="b">
        <f>IF('DATA INPUT'!B84="T. ser",3.142*'DATA INPUT'!N84^2*'DATA INPUT'!O84/3+3.142*'DATA INPUT'!P84^2/3*(3*'DATA INPUT'!N84-'DATA INPUT'!P84),IF('DATA INPUT'!B84="S. mel",3.142*'DATA INPUT'!N84^2*'DATA INPUT'!O84/3+3.142*'DATA INPUT'!P84^2/3*(3*'DATA INPUT'!N84-'DATA INPUT'!P84),IF('DATA INPUT'!B84="V. ref",3.142*'DATA INPUT'!N84^2*'DATA INPUT'!O84/3+3.142*'DATA INPUT'!P84^2/3*(3*'DATA INPUT'!N84-'DATA INPUT'!P84),IF('DATA INPUT'!B84=1,3.142*'DATA INPUT'!N84^2*'DATA INPUT'!O84/3+3.142*'DATA INPUT'!P84^2/3*(3*'DATA INPUT'!N84-'DATA INPUT'!P84),IF('DATA INPUT'!B84=2,3.142*'DATA INPUT'!N84^2*'DATA INPUT'!O84/3+3.142*'DATA INPUT'!P84^2/3*(3*'DATA INPUT'!N84-'DATA INPUT'!P84),FALSE)))))</f>
        <v>0</v>
      </c>
      <c r="J80" s="2" t="b">
        <f>IF('DATA INPUT'!B84="T. ser",0.0458*CALCULATIONS!I80^0.6841,IF('DATA INPUT'!B84="S. mel",0.6047*CALCULATIONS!I80^0.6433,IF('DATA INPUT'!B84="V. ref",0.77086*CALCULATIONS!I80^0.4936,IF('DATA INPUT'!B84=1,0.68778*CALCULATIONS!I80^0.56845,IF('DATA INPUT'!B84=2,0.0458*CALCULATIONS!I80^0.6841,FALSE)))))</f>
        <v>0</v>
      </c>
      <c r="K80" s="3">
        <f t="shared" si="8"/>
        <v>0</v>
      </c>
      <c r="L80" s="3" t="b">
        <f>IF('DATA INPUT'!B84="T. ser",('DATA INPUT'!D84+'DATA INPUT'!F84+'DATA INPUT'!H84+'DATA INPUT'!J84)/1.5,IF('DATA INPUT'!B84="V. ref",('DATA INPUT'!D84+'DATA INPUT'!F84+'DATA INPUT'!H84+'DATA INPUT'!J84)/1.5,IF('DATA INPUT'!B84="S. mel",('DATA INPUT'!D84+'DATA INPUT'!F84+'DATA INPUT'!H84+'DATA INPUT'!J84)/1.5,IF('DATA INPUT'!B84=1,('DATA INPUT'!D84+'DATA INPUT'!F84+'DATA INPUT'!H84+'DATA INPUT'!J84)/1.5,IF('DATA INPUT'!B84=2,('DATA INPUT'!D84+'DATA INPUT'!F84+'DATA INPUT'!H84+'DATA INPUT'!J84)/1.5,FALSE)))))</f>
        <v>0</v>
      </c>
      <c r="N80" s="16">
        <f>'DATA INPUT'!C84</f>
        <v>0</v>
      </c>
      <c r="O80" s="3" t="b">
        <f>IF('DATA INPUT'!B84="T. ser",0.3446*'DATA INPUT'!D84^1.0619,IF('DATA INPUT'!B84="S. mel",(1270.6*'DATA INPUT'!D84^2.0933)/1000,IF('DATA INPUT'!B84="V. ref",(816.25*'DATA INPUT'!D84^2.1754)/1000,IF('DATA INPUT'!B84=1,(1492.4*'DATA INPUT'!D84^1.7591)/1000,IF('DATA INPUT'!B84=2,0.3446*'DATA INPUT'!D84^1.0619,FALSE)))))</f>
        <v>0</v>
      </c>
      <c r="P80" s="3" t="b">
        <f>IF('DATA INPUT'!B84="T. ser",0.3662*'DATA INPUT'!E84^1.5061,IF('DATA INPUT'!B84="S. mel",(748.47*'DATA INPUT'!E84^2.2691)/1000,IF('DATA INPUT'!B84="V. ref",(953.69*'DATA INPUT'!E84^1.9524)/1000,IF('DATA INPUT'!B84=1,(695.02*'DATA INPUT'!E84^2.3452)/1000,IF('DATA INPUT'!B84=2,0.3662*'DATA INPUT'!E84^1.5061,FALSE)))))</f>
        <v>0</v>
      </c>
      <c r="Q80" s="3" t="b">
        <f>IF('DATA INPUT'!B84="T. ser",0.1225*('DATA INPUT'!F84*'DATA INPUT'!G84)^0.8272,IF('DATA INPUT'!B84="S. mel",(925.08*('DATA INPUT'!F84*'DATA INPUT'!G84)^1.1603)/1000,IF('DATA INPUT'!B84="V. ref",(776.29*('DATA INPUT'!F84*'DATA INPUT'!G84)^1.1226)/1000,IF('DATA INPUT'!B84=1,(884.6*('DATA INPUT'!F84*'DATA INPUT'!G84)^1.129)/1000,IF('DATA INPUT'!B84=2,0.1225*('DATA INPUT'!F84*'DATA INPUT'!G84)^0.8272,FALSE)))))</f>
        <v>0</v>
      </c>
      <c r="R80" s="3" t="b">
        <f>IF('DATA INPUT'!B84="T. ser",5.5287*('DATA INPUT'!H84*'DATA INPUT'!I84)^0.8272,IF('DATA INPUT'!B84="S. mel",(31469*('DATA INPUT'!H84*'DATA INPUT'!I84)^0.8608)/1000,IF('DATA INPUT'!B84="V. ref",(39394*('DATA INPUT'!H84*'DATA INPUT'!I84)^1.005)/1000,IF('DATA INPUT'!B84=1,(31791*('DATA INPUT'!H84*'DATA INPUT'!I84)^0.8467)/1000,IF('DATA INPUT'!B84=2,5.5287*('DATA INPUT'!H84*'DATA INPUT'!I84)^0.8272,FALSE)))))</f>
        <v>0</v>
      </c>
      <c r="S80" s="3" t="b">
        <f>IF('DATA INPUT'!B84="T. ser",0.0005*I80^0.5148,IF('DATA INPUT'!B84="S. mel",0.051*I80^0.7789/1000,IF('DATA INPUT'!B84="V. ref",0.0958*I80^0.7253/1000,IF('DATA INPUT'!B84=1,0.0426*I80^0.786/1000,IF('DATA INPUT'!B84=2,0.0005*I80^0.5148,FALSE)))))</f>
        <v>0</v>
      </c>
      <c r="T80" s="59">
        <f t="shared" si="9"/>
        <v>0</v>
      </c>
    </row>
    <row r="81" spans="1:20" x14ac:dyDescent="0.2">
      <c r="A81" s="218">
        <f>'DATA INPUT'!C85</f>
        <v>0</v>
      </c>
      <c r="B81" s="11" t="b">
        <f>IF('DATA INPUT'!B85="T. ser",0.1656*'DATA INPUT'!D85^1.4655,IF('DATA INPUT'!B85="S. mel",135.53*'DATA INPUT'!D85^3.8701/1000,IF('DATA INPUT'!B85="V. ref",143.01*'DATA INPUT'!D85^3.3147/1000,IF('DATA INPUT'!B85=1,143.35*'DATA INPUT'!D85^3.6046/1000,IF('DATA INPUT'!B85=2,0.1656*'DATA INPUT'!D85^1.4655,FALSE)))))</f>
        <v>0</v>
      </c>
      <c r="C81" s="8" t="b">
        <f>IF('DATA INPUT'!B85="T. ser",0.3356*'DATA INPUT'!E85^0.9984,IF('DATA INPUT'!B85="S. mel",24.906*'DATA INPUT'!E85^4.7681/1000,IF('DATA INPUT'!B85="V. ref",118.45*'DATA INPUT'!E85^3.5959/1000,IF('DATA INPUT'!B85=1,55.075*'DATA INPUT'!E85^4.0991/1000,IF('DATA INPUT'!B85=2,0.3356*'DATA INPUT'!E85^0.9984,FALSE)))))</f>
        <v>0</v>
      </c>
      <c r="D81" s="18" t="b">
        <f>IF('DATA INPUT'!B85="T. ser",0.0615*('DATA INPUT'!F85*'DATA INPUT'!G85)^0.9573,IF('DATA INPUT'!B85="S. mel",46.162*('DATA INPUT'!F85*'DATA INPUT'!G85)^2.3652/1000,IF('DATA INPUT'!B85="V. ref",90.34*('DATA INPUT'!F85*'DATA INPUT'!G85)^1.9756/1000,IF('DATA INPUT'!B85=1,63.022*('DATA INPUT'!F85*'DATA INPUT'!G85)^2.1551/1000,IF('DATA INPUT'!B85=2,0.0615*('DATA INPUT'!F85*'DATA INPUT'!G85)^0.9573,FALSE)))))</f>
        <v>0</v>
      </c>
      <c r="E81" s="8" t="b">
        <f>IF('DATA INPUT'!B85="T. ser",5.0562*('DATA INPUT'!H85*'DATA INPUT'!I85)^0.9574,IF('DATA INPUT'!B85="S. mel",44047*('DATA INPUT'!H85*'DATA INPUT'!I85)^1.5456/1000,IF('DATA INPUT'!B85="V. ref",91930*('DATA INPUT'!H85*'DATA INPUT'!I85)^1.7774/1000,IF('DATA INPUT'!B85=1,62601*('DATA INPUT'!H85*'DATA INPUT'!I85)^1.6463/1000,IF('DATA INPUT'!B85=2,5.0562*('DATA INPUT'!H85*'DATA INPUT'!I85)^0.9574,FALSE)))))</f>
        <v>0</v>
      </c>
      <c r="F81" s="18" t="b">
        <f>IF('DATA INPUT'!B85="T. ser",0.0009*I81^0.4477,IF('DATA INPUT'!B85="S. mel",0.0000004*I81^1.4912/1000,IF('DATA INPUT'!B85="V. ref",0.00000005*I81^1.6284/1000,IF('DATA INPUT'!B85=1,0.0000007*I81^1.4601/1000,IF('DATA INPUT'!B85=2,0.0009*I81^0.4477,FALSE)))))</f>
        <v>0</v>
      </c>
      <c r="G81" s="57">
        <f t="shared" si="10"/>
        <v>0</v>
      </c>
      <c r="H81" s="57"/>
      <c r="I81" s="2" t="b">
        <f>IF('DATA INPUT'!B85="T. ser",3.142*'DATA INPUT'!N85^2*'DATA INPUT'!O85/3+3.142*'DATA INPUT'!P85^2/3*(3*'DATA INPUT'!N85-'DATA INPUT'!P85),IF('DATA INPUT'!B85="S. mel",3.142*'DATA INPUT'!N85^2*'DATA INPUT'!O85/3+3.142*'DATA INPUT'!P85^2/3*(3*'DATA INPUT'!N85-'DATA INPUT'!P85),IF('DATA INPUT'!B85="V. ref",3.142*'DATA INPUT'!N85^2*'DATA INPUT'!O85/3+3.142*'DATA INPUT'!P85^2/3*(3*'DATA INPUT'!N85-'DATA INPUT'!P85),IF('DATA INPUT'!B85=1,3.142*'DATA INPUT'!N85^2*'DATA INPUT'!O85/3+3.142*'DATA INPUT'!P85^2/3*(3*'DATA INPUT'!N85-'DATA INPUT'!P85),IF('DATA INPUT'!B85=2,3.142*'DATA INPUT'!N85^2*'DATA INPUT'!O85/3+3.142*'DATA INPUT'!P85^2/3*(3*'DATA INPUT'!N85-'DATA INPUT'!P85),FALSE)))))</f>
        <v>0</v>
      </c>
      <c r="J81" s="2" t="b">
        <f>IF('DATA INPUT'!B85="T. ser",0.0458*CALCULATIONS!I81^0.6841,IF('DATA INPUT'!B85="S. mel",0.6047*CALCULATIONS!I81^0.6433,IF('DATA INPUT'!B85="V. ref",0.77086*CALCULATIONS!I81^0.4936,IF('DATA INPUT'!B85=1,0.68778*CALCULATIONS!I81^0.56845,IF('DATA INPUT'!B85=2,0.0458*CALCULATIONS!I81^0.6841,FALSE)))))</f>
        <v>0</v>
      </c>
      <c r="K81" s="3">
        <f t="shared" si="8"/>
        <v>0</v>
      </c>
      <c r="L81" s="3" t="b">
        <f>IF('DATA INPUT'!B85="T. ser",('DATA INPUT'!D85+'DATA INPUT'!F85+'DATA INPUT'!H85+'DATA INPUT'!J85)/1.5,IF('DATA INPUT'!B85="V. ref",('DATA INPUT'!D85+'DATA INPUT'!F85+'DATA INPUT'!H85+'DATA INPUT'!J85)/1.5,IF('DATA INPUT'!B85="S. mel",('DATA INPUT'!D85+'DATA INPUT'!F85+'DATA INPUT'!H85+'DATA INPUT'!J85)/1.5,IF('DATA INPUT'!B85=1,('DATA INPUT'!D85+'DATA INPUT'!F85+'DATA INPUT'!H85+'DATA INPUT'!J85)/1.5,IF('DATA INPUT'!B85=2,('DATA INPUT'!D85+'DATA INPUT'!F85+'DATA INPUT'!H85+'DATA INPUT'!J85)/1.5,FALSE)))))</f>
        <v>0</v>
      </c>
      <c r="N81" s="16">
        <f>'DATA INPUT'!C85</f>
        <v>0</v>
      </c>
      <c r="O81" s="3" t="b">
        <f>IF('DATA INPUT'!B85="T. ser",0.3446*'DATA INPUT'!D85^1.0619,IF('DATA INPUT'!B85="S. mel",(1270.6*'DATA INPUT'!D85^2.0933)/1000,IF('DATA INPUT'!B85="V. ref",(816.25*'DATA INPUT'!D85^2.1754)/1000,IF('DATA INPUT'!B85=1,(1492.4*'DATA INPUT'!D85^1.7591)/1000,IF('DATA INPUT'!B85=2,0.3446*'DATA INPUT'!D85^1.0619,FALSE)))))</f>
        <v>0</v>
      </c>
      <c r="P81" s="3" t="b">
        <f>IF('DATA INPUT'!B85="T. ser",0.3662*'DATA INPUT'!E85^1.5061,IF('DATA INPUT'!B85="S. mel",(748.47*'DATA INPUT'!E85^2.2691)/1000,IF('DATA INPUT'!B85="V. ref",(953.69*'DATA INPUT'!E85^1.9524)/1000,IF('DATA INPUT'!B85=1,(695.02*'DATA INPUT'!E85^2.3452)/1000,IF('DATA INPUT'!B85=2,0.3662*'DATA INPUT'!E85^1.5061,FALSE)))))</f>
        <v>0</v>
      </c>
      <c r="Q81" s="3" t="b">
        <f>IF('DATA INPUT'!B85="T. ser",0.1225*('DATA INPUT'!F85*'DATA INPUT'!G85)^0.8272,IF('DATA INPUT'!B85="S. mel",(925.08*('DATA INPUT'!F85*'DATA INPUT'!G85)^1.1603)/1000,IF('DATA INPUT'!B85="V. ref",(776.29*('DATA INPUT'!F85*'DATA INPUT'!G85)^1.1226)/1000,IF('DATA INPUT'!B85=1,(884.6*('DATA INPUT'!F85*'DATA INPUT'!G85)^1.129)/1000,IF('DATA INPUT'!B85=2,0.1225*('DATA INPUT'!F85*'DATA INPUT'!G85)^0.8272,FALSE)))))</f>
        <v>0</v>
      </c>
      <c r="R81" s="3" t="b">
        <f>IF('DATA INPUT'!B85="T. ser",5.5287*('DATA INPUT'!H85*'DATA INPUT'!I85)^0.8272,IF('DATA INPUT'!B85="S. mel",(31469*('DATA INPUT'!H85*'DATA INPUT'!I85)^0.8608)/1000,IF('DATA INPUT'!B85="V. ref",(39394*('DATA INPUT'!H85*'DATA INPUT'!I85)^1.005)/1000,IF('DATA INPUT'!B85=1,(31791*('DATA INPUT'!H85*'DATA INPUT'!I85)^0.8467)/1000,IF('DATA INPUT'!B85=2,5.5287*('DATA INPUT'!H85*'DATA INPUT'!I85)^0.8272,FALSE)))))</f>
        <v>0</v>
      </c>
      <c r="S81" s="3" t="b">
        <f>IF('DATA INPUT'!B85="T. ser",0.0005*I81^0.5148,IF('DATA INPUT'!B85="S. mel",0.051*I81^0.7789/1000,IF('DATA INPUT'!B85="V. ref",0.0958*I81^0.7253/1000,IF('DATA INPUT'!B85=1,0.0426*I81^0.786/1000,IF('DATA INPUT'!B85=2,0.0005*I81^0.5148,FALSE)))))</f>
        <v>0</v>
      </c>
      <c r="T81" s="59">
        <f t="shared" si="9"/>
        <v>0</v>
      </c>
    </row>
    <row r="82" spans="1:20" x14ac:dyDescent="0.2">
      <c r="A82" s="218">
        <f>'DATA INPUT'!C86</f>
        <v>0</v>
      </c>
      <c r="B82" s="11" t="b">
        <f>IF('DATA INPUT'!B86="T. ser",0.1656*'DATA INPUT'!D86^1.4655,IF('DATA INPUT'!B86="S. mel",135.53*'DATA INPUT'!D86^3.8701/1000,IF('DATA INPUT'!B86="V. ref",143.01*'DATA INPUT'!D86^3.3147/1000,IF('DATA INPUT'!B86=1,143.35*'DATA INPUT'!D86^3.6046/1000,IF('DATA INPUT'!B86=2,0.1656*'DATA INPUT'!D86^1.4655,FALSE)))))</f>
        <v>0</v>
      </c>
      <c r="C82" s="8" t="b">
        <f>IF('DATA INPUT'!B86="T. ser",0.3356*'DATA INPUT'!E86^0.9984,IF('DATA INPUT'!B86="S. mel",24.906*'DATA INPUT'!E86^4.7681/1000,IF('DATA INPUT'!B86="V. ref",118.45*'DATA INPUT'!E86^3.5959/1000,IF('DATA INPUT'!B86=1,55.075*'DATA INPUT'!E86^4.0991/1000,IF('DATA INPUT'!B86=2,0.3356*'DATA INPUT'!E86^0.9984,FALSE)))))</f>
        <v>0</v>
      </c>
      <c r="D82" s="18" t="b">
        <f>IF('DATA INPUT'!B86="T. ser",0.0615*('DATA INPUT'!F86*'DATA INPUT'!G86)^0.9573,IF('DATA INPUT'!B86="S. mel",46.162*('DATA INPUT'!F86*'DATA INPUT'!G86)^2.3652/1000,IF('DATA INPUT'!B86="V. ref",90.34*('DATA INPUT'!F86*'DATA INPUT'!G86)^1.9756/1000,IF('DATA INPUT'!B86=1,63.022*('DATA INPUT'!F86*'DATA INPUT'!G86)^2.1551/1000,IF('DATA INPUT'!B86=2,0.0615*('DATA INPUT'!F86*'DATA INPUT'!G86)^0.9573,FALSE)))))</f>
        <v>0</v>
      </c>
      <c r="E82" s="8" t="b">
        <f>IF('DATA INPUT'!B86="T. ser",5.0562*('DATA INPUT'!H86*'DATA INPUT'!I86)^0.9574,IF('DATA INPUT'!B86="S. mel",44047*('DATA INPUT'!H86*'DATA INPUT'!I86)^1.5456/1000,IF('DATA INPUT'!B86="V. ref",91930*('DATA INPUT'!H86*'DATA INPUT'!I86)^1.7774/1000,IF('DATA INPUT'!B86=1,62601*('DATA INPUT'!H86*'DATA INPUT'!I86)^1.6463/1000,IF('DATA INPUT'!B86=2,5.0562*('DATA INPUT'!H86*'DATA INPUT'!I86)^0.9574,FALSE)))))</f>
        <v>0</v>
      </c>
      <c r="F82" s="18" t="b">
        <f>IF('DATA INPUT'!B86="T. ser",0.0009*I82^0.4477,IF('DATA INPUT'!B86="S. mel",0.0000004*I82^1.4912/1000,IF('DATA INPUT'!B86="V. ref",0.00000005*I82^1.6284/1000,IF('DATA INPUT'!B86=1,0.0000007*I82^1.4601/1000,IF('DATA INPUT'!B86=2,0.0009*I82^0.4477,FALSE)))))</f>
        <v>0</v>
      </c>
      <c r="G82" s="57">
        <f t="shared" si="10"/>
        <v>0</v>
      </c>
      <c r="H82" s="57"/>
      <c r="I82" s="2" t="b">
        <f>IF('DATA INPUT'!B86="T. ser",3.142*'DATA INPUT'!N86^2*'DATA INPUT'!O86/3+3.142*'DATA INPUT'!P86^2/3*(3*'DATA INPUT'!N86-'DATA INPUT'!P86),IF('DATA INPUT'!B86="S. mel",3.142*'DATA INPUT'!N86^2*'DATA INPUT'!O86/3+3.142*'DATA INPUT'!P86^2/3*(3*'DATA INPUT'!N86-'DATA INPUT'!P86),IF('DATA INPUT'!B86="V. ref",3.142*'DATA INPUT'!N86^2*'DATA INPUT'!O86/3+3.142*'DATA INPUT'!P86^2/3*(3*'DATA INPUT'!N86-'DATA INPUT'!P86),IF('DATA INPUT'!B86=1,3.142*'DATA INPUT'!N86^2*'DATA INPUT'!O86/3+3.142*'DATA INPUT'!P86^2/3*(3*'DATA INPUT'!N86-'DATA INPUT'!P86),IF('DATA INPUT'!B86=2,3.142*'DATA INPUT'!N86^2*'DATA INPUT'!O86/3+3.142*'DATA INPUT'!P86^2/3*(3*'DATA INPUT'!N86-'DATA INPUT'!P86),FALSE)))))</f>
        <v>0</v>
      </c>
      <c r="J82" s="2" t="b">
        <f>IF('DATA INPUT'!B86="T. ser",0.0458*CALCULATIONS!I82^0.6841,IF('DATA INPUT'!B86="S. mel",0.6047*CALCULATIONS!I82^0.6433,IF('DATA INPUT'!B86="V. ref",0.77086*CALCULATIONS!I82^0.4936,IF('DATA INPUT'!B86=1,0.68778*CALCULATIONS!I82^0.56845,IF('DATA INPUT'!B86=2,0.0458*CALCULATIONS!I82^0.6841,FALSE)))))</f>
        <v>0</v>
      </c>
      <c r="K82" s="3">
        <f t="shared" si="8"/>
        <v>0</v>
      </c>
      <c r="L82" s="3" t="b">
        <f>IF('DATA INPUT'!B86="T. ser",('DATA INPUT'!D86+'DATA INPUT'!F86+'DATA INPUT'!H86+'DATA INPUT'!J86)/1.5,IF('DATA INPUT'!B86="V. ref",('DATA INPUT'!D86+'DATA INPUT'!F86+'DATA INPUT'!H86+'DATA INPUT'!J86)/1.5,IF('DATA INPUT'!B86="S. mel",('DATA INPUT'!D86+'DATA INPUT'!F86+'DATA INPUT'!H86+'DATA INPUT'!J86)/1.5,IF('DATA INPUT'!B86=1,('DATA INPUT'!D86+'DATA INPUT'!F86+'DATA INPUT'!H86+'DATA INPUT'!J86)/1.5,IF('DATA INPUT'!B86=2,('DATA INPUT'!D86+'DATA INPUT'!F86+'DATA INPUT'!H86+'DATA INPUT'!J86)/1.5,FALSE)))))</f>
        <v>0</v>
      </c>
      <c r="N82" s="16">
        <f>'DATA INPUT'!C86</f>
        <v>0</v>
      </c>
      <c r="O82" s="3" t="b">
        <f>IF('DATA INPUT'!B86="T. ser",0.3446*'DATA INPUT'!D86^1.0619,IF('DATA INPUT'!B86="S. mel",(1270.6*'DATA INPUT'!D86^2.0933)/1000,IF('DATA INPUT'!B86="V. ref",(816.25*'DATA INPUT'!D86^2.1754)/1000,IF('DATA INPUT'!B86=1,(1492.4*'DATA INPUT'!D86^1.7591)/1000,IF('DATA INPUT'!B86=2,0.3446*'DATA INPUT'!D86^1.0619,FALSE)))))</f>
        <v>0</v>
      </c>
      <c r="P82" s="3" t="b">
        <f>IF('DATA INPUT'!B86="T. ser",0.3662*'DATA INPUT'!E86^1.5061,IF('DATA INPUT'!B86="S. mel",(748.47*'DATA INPUT'!E86^2.2691)/1000,IF('DATA INPUT'!B86="V. ref",(953.69*'DATA INPUT'!E86^1.9524)/1000,IF('DATA INPUT'!B86=1,(695.02*'DATA INPUT'!E86^2.3452)/1000,IF('DATA INPUT'!B86=2,0.3662*'DATA INPUT'!E86^1.5061,FALSE)))))</f>
        <v>0</v>
      </c>
      <c r="Q82" s="3" t="b">
        <f>IF('DATA INPUT'!B86="T. ser",0.1225*('DATA INPUT'!F86*'DATA INPUT'!G86)^0.8272,IF('DATA INPUT'!B86="S. mel",(925.08*('DATA INPUT'!F86*'DATA INPUT'!G86)^1.1603)/1000,IF('DATA INPUT'!B86="V. ref",(776.29*('DATA INPUT'!F86*'DATA INPUT'!G86)^1.1226)/1000,IF('DATA INPUT'!B86=1,(884.6*('DATA INPUT'!F86*'DATA INPUT'!G86)^1.129)/1000,IF('DATA INPUT'!B86=2,0.1225*('DATA INPUT'!F86*'DATA INPUT'!G86)^0.8272,FALSE)))))</f>
        <v>0</v>
      </c>
      <c r="R82" s="3" t="b">
        <f>IF('DATA INPUT'!B86="T. ser",5.5287*('DATA INPUT'!H86*'DATA INPUT'!I86)^0.8272,IF('DATA INPUT'!B86="S. mel",(31469*('DATA INPUT'!H86*'DATA INPUT'!I86)^0.8608)/1000,IF('DATA INPUT'!B86="V. ref",(39394*('DATA INPUT'!H86*'DATA INPUT'!I86)^1.005)/1000,IF('DATA INPUT'!B86=1,(31791*('DATA INPUT'!H86*'DATA INPUT'!I86)^0.8467)/1000,IF('DATA INPUT'!B86=2,5.5287*('DATA INPUT'!H86*'DATA INPUT'!I86)^0.8272,FALSE)))))</f>
        <v>0</v>
      </c>
      <c r="S82" s="3" t="b">
        <f>IF('DATA INPUT'!B86="T. ser",0.0005*I82^0.5148,IF('DATA INPUT'!B86="S. mel",0.051*I82^0.7789/1000,IF('DATA INPUT'!B86="V. ref",0.0958*I82^0.7253/1000,IF('DATA INPUT'!B86=1,0.0426*I82^0.786/1000,IF('DATA INPUT'!B86=2,0.0005*I82^0.5148,FALSE)))))</f>
        <v>0</v>
      </c>
      <c r="T82" s="59">
        <f t="shared" si="9"/>
        <v>0</v>
      </c>
    </row>
    <row r="83" spans="1:20" x14ac:dyDescent="0.2">
      <c r="A83" s="218">
        <f>'DATA INPUT'!C87</f>
        <v>0</v>
      </c>
      <c r="B83" s="11" t="b">
        <f>IF('DATA INPUT'!B87="T. ser",0.1656*'DATA INPUT'!D87^1.4655,IF('DATA INPUT'!B87="S. mel",135.53*'DATA INPUT'!D87^3.8701/1000,IF('DATA INPUT'!B87="V. ref",143.01*'DATA INPUT'!D87^3.3147/1000,IF('DATA INPUT'!B87=1,143.35*'DATA INPUT'!D87^3.6046/1000,IF('DATA INPUT'!B87=2,0.1656*'DATA INPUT'!D87^1.4655,FALSE)))))</f>
        <v>0</v>
      </c>
      <c r="C83" s="8" t="b">
        <f>IF('DATA INPUT'!B87="T. ser",0.3356*'DATA INPUT'!E87^0.9984,IF('DATA INPUT'!B87="S. mel",24.906*'DATA INPUT'!E87^4.7681/1000,IF('DATA INPUT'!B87="V. ref",118.45*'DATA INPUT'!E87^3.5959/1000,IF('DATA INPUT'!B87=1,55.075*'DATA INPUT'!E87^4.0991/1000,IF('DATA INPUT'!B87=2,0.3356*'DATA INPUT'!E87^0.9984,FALSE)))))</f>
        <v>0</v>
      </c>
      <c r="D83" s="18" t="b">
        <f>IF('DATA INPUT'!B87="T. ser",0.0615*('DATA INPUT'!F87*'DATA INPUT'!G87)^0.9573,IF('DATA INPUT'!B87="S. mel",46.162*('DATA INPUT'!F87*'DATA INPUT'!G87)^2.3652/1000,IF('DATA INPUT'!B87="V. ref",90.34*('DATA INPUT'!F87*'DATA INPUT'!G87)^1.9756/1000,IF('DATA INPUT'!B87=1,63.022*('DATA INPUT'!F87*'DATA INPUT'!G87)^2.1551/1000,IF('DATA INPUT'!B87=2,0.0615*('DATA INPUT'!F87*'DATA INPUT'!G87)^0.9573,FALSE)))))</f>
        <v>0</v>
      </c>
      <c r="E83" s="8" t="b">
        <f>IF('DATA INPUT'!B87="T. ser",5.0562*('DATA INPUT'!H87*'DATA INPUT'!I87)^0.9574,IF('DATA INPUT'!B87="S. mel",44047*('DATA INPUT'!H87*'DATA INPUT'!I87)^1.5456/1000,IF('DATA INPUT'!B87="V. ref",91930*('DATA INPUT'!H87*'DATA INPUT'!I87)^1.7774/1000,IF('DATA INPUT'!B87=1,62601*('DATA INPUT'!H87*'DATA INPUT'!I87)^1.6463/1000,IF('DATA INPUT'!B87=2,5.0562*('DATA INPUT'!H87*'DATA INPUT'!I87)^0.9574,FALSE)))))</f>
        <v>0</v>
      </c>
      <c r="F83" s="18" t="b">
        <f>IF('DATA INPUT'!B87="T. ser",0.0009*I83^0.4477,IF('DATA INPUT'!B87="S. mel",0.0000004*I83^1.4912/1000,IF('DATA INPUT'!B87="V. ref",0.00000005*I83^1.6284/1000,IF('DATA INPUT'!B87=1,0.0000007*I83^1.4601/1000,IF('DATA INPUT'!B87=2,0.0009*I83^0.4477,FALSE)))))</f>
        <v>0</v>
      </c>
      <c r="G83" s="57">
        <f t="shared" si="10"/>
        <v>0</v>
      </c>
      <c r="H83" s="57"/>
      <c r="I83" s="2" t="b">
        <f>IF('DATA INPUT'!B87="T. ser",3.142*'DATA INPUT'!N87^2*'DATA INPUT'!O87/3+3.142*'DATA INPUT'!P87^2/3*(3*'DATA INPUT'!N87-'DATA INPUT'!P87),IF('DATA INPUT'!B87="S. mel",3.142*'DATA INPUT'!N87^2*'DATA INPUT'!O87/3+3.142*'DATA INPUT'!P87^2/3*(3*'DATA INPUT'!N87-'DATA INPUT'!P87),IF('DATA INPUT'!B87="V. ref",3.142*'DATA INPUT'!N87^2*'DATA INPUT'!O87/3+3.142*'DATA INPUT'!P87^2/3*(3*'DATA INPUT'!N87-'DATA INPUT'!P87),IF('DATA INPUT'!B87=1,3.142*'DATA INPUT'!N87^2*'DATA INPUT'!O87/3+3.142*'DATA INPUT'!P87^2/3*(3*'DATA INPUT'!N87-'DATA INPUT'!P87),IF('DATA INPUT'!B87=2,3.142*'DATA INPUT'!N87^2*'DATA INPUT'!O87/3+3.142*'DATA INPUT'!P87^2/3*(3*'DATA INPUT'!N87-'DATA INPUT'!P87),FALSE)))))</f>
        <v>0</v>
      </c>
      <c r="J83" s="2" t="b">
        <f>IF('DATA INPUT'!B87="T. ser",0.0458*CALCULATIONS!I83^0.6841,IF('DATA INPUT'!B87="S. mel",0.6047*CALCULATIONS!I83^0.6433,IF('DATA INPUT'!B87="V. ref",0.77086*CALCULATIONS!I83^0.4936,IF('DATA INPUT'!B87=1,0.68778*CALCULATIONS!I83^0.56845,IF('DATA INPUT'!B87=2,0.0458*CALCULATIONS!I83^0.6841,FALSE)))))</f>
        <v>0</v>
      </c>
      <c r="K83" s="3">
        <f t="shared" si="8"/>
        <v>0</v>
      </c>
      <c r="L83" s="3" t="b">
        <f>IF('DATA INPUT'!B87="T. ser",('DATA INPUT'!D87+'DATA INPUT'!F87+'DATA INPUT'!H87+'DATA INPUT'!J87)/1.5,IF('DATA INPUT'!B87="V. ref",('DATA INPUT'!D87+'DATA INPUT'!F87+'DATA INPUT'!H87+'DATA INPUT'!J87)/1.5,IF('DATA INPUT'!B87="S. mel",('DATA INPUT'!D87+'DATA INPUT'!F87+'DATA INPUT'!H87+'DATA INPUT'!J87)/1.5,IF('DATA INPUT'!B87=1,('DATA INPUT'!D87+'DATA INPUT'!F87+'DATA INPUT'!H87+'DATA INPUT'!J87)/1.5,IF('DATA INPUT'!B87=2,('DATA INPUT'!D87+'DATA INPUT'!F87+'DATA INPUT'!H87+'DATA INPUT'!J87)/1.5,FALSE)))))</f>
        <v>0</v>
      </c>
      <c r="N83" s="16">
        <f>'DATA INPUT'!C87</f>
        <v>0</v>
      </c>
      <c r="O83" s="3" t="b">
        <f>IF('DATA INPUT'!B87="T. ser",0.3446*'DATA INPUT'!D87^1.0619,IF('DATA INPUT'!B87="S. mel",(1270.6*'DATA INPUT'!D87^2.0933)/1000,IF('DATA INPUT'!B87="V. ref",(816.25*'DATA INPUT'!D87^2.1754)/1000,IF('DATA INPUT'!B87=1,(1492.4*'DATA INPUT'!D87^1.7591)/1000,IF('DATA INPUT'!B87=2,0.3446*'DATA INPUT'!D87^1.0619,FALSE)))))</f>
        <v>0</v>
      </c>
      <c r="P83" s="3" t="b">
        <f>IF('DATA INPUT'!B87="T. ser",0.3662*'DATA INPUT'!E87^1.5061,IF('DATA INPUT'!B87="S. mel",(748.47*'DATA INPUT'!E87^2.2691)/1000,IF('DATA INPUT'!B87="V. ref",(953.69*'DATA INPUT'!E87^1.9524)/1000,IF('DATA INPUT'!B87=1,(695.02*'DATA INPUT'!E87^2.3452)/1000,IF('DATA INPUT'!B87=2,0.3662*'DATA INPUT'!E87^1.5061,FALSE)))))</f>
        <v>0</v>
      </c>
      <c r="Q83" s="3" t="b">
        <f>IF('DATA INPUT'!B87="T. ser",0.1225*('DATA INPUT'!F87*'DATA INPUT'!G87)^0.8272,IF('DATA INPUT'!B87="S. mel",(925.08*('DATA INPUT'!F87*'DATA INPUT'!G87)^1.1603)/1000,IF('DATA INPUT'!B87="V. ref",(776.29*('DATA INPUT'!F87*'DATA INPUT'!G87)^1.1226)/1000,IF('DATA INPUT'!B87=1,(884.6*('DATA INPUT'!F87*'DATA INPUT'!G87)^1.129)/1000,IF('DATA INPUT'!B87=2,0.1225*('DATA INPUT'!F87*'DATA INPUT'!G87)^0.8272,FALSE)))))</f>
        <v>0</v>
      </c>
      <c r="R83" s="3" t="b">
        <f>IF('DATA INPUT'!B87="T. ser",5.5287*('DATA INPUT'!H87*'DATA INPUT'!I87)^0.8272,IF('DATA INPUT'!B87="S. mel",(31469*('DATA INPUT'!H87*'DATA INPUT'!I87)^0.8608)/1000,IF('DATA INPUT'!B87="V. ref",(39394*('DATA INPUT'!H87*'DATA INPUT'!I87)^1.005)/1000,IF('DATA INPUT'!B87=1,(31791*('DATA INPUT'!H87*'DATA INPUT'!I87)^0.8467)/1000,IF('DATA INPUT'!B87=2,5.5287*('DATA INPUT'!H87*'DATA INPUT'!I87)^0.8272,FALSE)))))</f>
        <v>0</v>
      </c>
      <c r="S83" s="3" t="b">
        <f>IF('DATA INPUT'!B87="T. ser",0.0005*I83^0.5148,IF('DATA INPUT'!B87="S. mel",0.051*I83^0.7789/1000,IF('DATA INPUT'!B87="V. ref",0.0958*I83^0.7253/1000,IF('DATA INPUT'!B87=1,0.0426*I83^0.786/1000,IF('DATA INPUT'!B87=2,0.0005*I83^0.5148,FALSE)))))</f>
        <v>0</v>
      </c>
      <c r="T83" s="59">
        <f t="shared" si="9"/>
        <v>0</v>
      </c>
    </row>
    <row r="84" spans="1:20" x14ac:dyDescent="0.2">
      <c r="A84" s="218">
        <f>'DATA INPUT'!C88</f>
        <v>0</v>
      </c>
      <c r="B84" s="11" t="b">
        <f>IF('DATA INPUT'!B88="T. ser",0.1656*'DATA INPUT'!D88^1.4655,IF('DATA INPUT'!B88="S. mel",135.53*'DATA INPUT'!D88^3.8701/1000,IF('DATA INPUT'!B88="V. ref",143.01*'DATA INPUT'!D88^3.3147/1000,IF('DATA INPUT'!B88=1,143.35*'DATA INPUT'!D88^3.6046/1000,IF('DATA INPUT'!B88=2,0.1656*'DATA INPUT'!D88^1.4655,FALSE)))))</f>
        <v>0</v>
      </c>
      <c r="C84" s="8" t="b">
        <f>IF('DATA INPUT'!B88="T. ser",0.3356*'DATA INPUT'!E88^0.9984,IF('DATA INPUT'!B88="S. mel",24.906*'DATA INPUT'!E88^4.7681/1000,IF('DATA INPUT'!B88="V. ref",118.45*'DATA INPUT'!E88^3.5959/1000,IF('DATA INPUT'!B88=1,55.075*'DATA INPUT'!E88^4.0991/1000,IF('DATA INPUT'!B88=2,0.3356*'DATA INPUT'!E88^0.9984,FALSE)))))</f>
        <v>0</v>
      </c>
      <c r="D84" s="18" t="b">
        <f>IF('DATA INPUT'!B88="T. ser",0.0615*('DATA INPUT'!F88*'DATA INPUT'!G88)^0.9573,IF('DATA INPUT'!B88="S. mel",46.162*('DATA INPUT'!F88*'DATA INPUT'!G88)^2.3652/1000,IF('DATA INPUT'!B88="V. ref",90.34*('DATA INPUT'!F88*'DATA INPUT'!G88)^1.9756/1000,IF('DATA INPUT'!B88=1,63.022*('DATA INPUT'!F88*'DATA INPUT'!G88)^2.1551/1000,IF('DATA INPUT'!B88=2,0.0615*('DATA INPUT'!F88*'DATA INPUT'!G88)^0.9573,FALSE)))))</f>
        <v>0</v>
      </c>
      <c r="E84" s="8" t="b">
        <f>IF('DATA INPUT'!B88="T. ser",5.0562*('DATA INPUT'!H88*'DATA INPUT'!I88)^0.9574,IF('DATA INPUT'!B88="S. mel",44047*('DATA INPUT'!H88*'DATA INPUT'!I88)^1.5456/1000,IF('DATA INPUT'!B88="V. ref",91930*('DATA INPUT'!H88*'DATA INPUT'!I88)^1.7774/1000,IF('DATA INPUT'!B88=1,62601*('DATA INPUT'!H88*'DATA INPUT'!I88)^1.6463/1000,IF('DATA INPUT'!B88=2,5.0562*('DATA INPUT'!H88*'DATA INPUT'!I88)^0.9574,FALSE)))))</f>
        <v>0</v>
      </c>
      <c r="F84" s="18" t="b">
        <f>IF('DATA INPUT'!B88="T. ser",0.0009*I84^0.4477,IF('DATA INPUT'!B88="S. mel",0.0000004*I84^1.4912/1000,IF('DATA INPUT'!B88="V. ref",0.00000005*I84^1.6284/1000,IF('DATA INPUT'!B88=1,0.0000007*I84^1.4601/1000,IF('DATA INPUT'!B88=2,0.0009*I84^0.4477,FALSE)))))</f>
        <v>0</v>
      </c>
      <c r="G84" s="57">
        <f t="shared" si="10"/>
        <v>0</v>
      </c>
      <c r="H84" s="57"/>
      <c r="I84" s="2" t="b">
        <f>IF('DATA INPUT'!B88="T. ser",3.142*'DATA INPUT'!N88^2*'DATA INPUT'!O88/3+3.142*'DATA INPUT'!P88^2/3*(3*'DATA INPUT'!N88-'DATA INPUT'!P88),IF('DATA INPUT'!B88="S. mel",3.142*'DATA INPUT'!N88^2*'DATA INPUT'!O88/3+3.142*'DATA INPUT'!P88^2/3*(3*'DATA INPUT'!N88-'DATA INPUT'!P88),IF('DATA INPUT'!B88="V. ref",3.142*'DATA INPUT'!N88^2*'DATA INPUT'!O88/3+3.142*'DATA INPUT'!P88^2/3*(3*'DATA INPUT'!N88-'DATA INPUT'!P88),IF('DATA INPUT'!B88=1,3.142*'DATA INPUT'!N88^2*'DATA INPUT'!O88/3+3.142*'DATA INPUT'!P88^2/3*(3*'DATA INPUT'!N88-'DATA INPUT'!P88),IF('DATA INPUT'!B88=2,3.142*'DATA INPUT'!N88^2*'DATA INPUT'!O88/3+3.142*'DATA INPUT'!P88^2/3*(3*'DATA INPUT'!N88-'DATA INPUT'!P88),FALSE)))))</f>
        <v>0</v>
      </c>
      <c r="J84" s="2" t="b">
        <f>IF('DATA INPUT'!B88="T. ser",0.0458*CALCULATIONS!I84^0.6841,IF('DATA INPUT'!B88="S. mel",0.6047*CALCULATIONS!I84^0.6433,IF('DATA INPUT'!B88="V. ref",0.77086*CALCULATIONS!I84^0.4936,IF('DATA INPUT'!B88=1,0.68778*CALCULATIONS!I84^0.56845,IF('DATA INPUT'!B88=2,0.0458*CALCULATIONS!I84^0.6841,FALSE)))))</f>
        <v>0</v>
      </c>
      <c r="K84" s="3">
        <f t="shared" si="8"/>
        <v>0</v>
      </c>
      <c r="L84" s="3" t="b">
        <f>IF('DATA INPUT'!B88="T. ser",('DATA INPUT'!D88+'DATA INPUT'!F88+'DATA INPUT'!H88+'DATA INPUT'!J88)/1.5,IF('DATA INPUT'!B88="V. ref",('DATA INPUT'!D88+'DATA INPUT'!F88+'DATA INPUT'!H88+'DATA INPUT'!J88)/1.5,IF('DATA INPUT'!B88="S. mel",('DATA INPUT'!D88+'DATA INPUT'!F88+'DATA INPUT'!H88+'DATA INPUT'!J88)/1.5,IF('DATA INPUT'!B88=1,('DATA INPUT'!D88+'DATA INPUT'!F88+'DATA INPUT'!H88+'DATA INPUT'!J88)/1.5,IF('DATA INPUT'!B88=2,('DATA INPUT'!D88+'DATA INPUT'!F88+'DATA INPUT'!H88+'DATA INPUT'!J88)/1.5,FALSE)))))</f>
        <v>0</v>
      </c>
      <c r="N84" s="16">
        <f>'DATA INPUT'!C88</f>
        <v>0</v>
      </c>
      <c r="O84" s="3" t="b">
        <f>IF('DATA INPUT'!B88="T. ser",0.3446*'DATA INPUT'!D88^1.0619,IF('DATA INPUT'!B88="S. mel",(1270.6*'DATA INPUT'!D88^2.0933)/1000,IF('DATA INPUT'!B88="V. ref",(816.25*'DATA INPUT'!D88^2.1754)/1000,IF('DATA INPUT'!B88=1,(1492.4*'DATA INPUT'!D88^1.7591)/1000,IF('DATA INPUT'!B88=2,0.3446*'DATA INPUT'!D88^1.0619,FALSE)))))</f>
        <v>0</v>
      </c>
      <c r="P84" s="3" t="b">
        <f>IF('DATA INPUT'!B88="T. ser",0.3662*'DATA INPUT'!E88^1.5061,IF('DATA INPUT'!B88="S. mel",(748.47*'DATA INPUT'!E88^2.2691)/1000,IF('DATA INPUT'!B88="V. ref",(953.69*'DATA INPUT'!E88^1.9524)/1000,IF('DATA INPUT'!B88=1,(695.02*'DATA INPUT'!E88^2.3452)/1000,IF('DATA INPUT'!B88=2,0.3662*'DATA INPUT'!E88^1.5061,FALSE)))))</f>
        <v>0</v>
      </c>
      <c r="Q84" s="3" t="b">
        <f>IF('DATA INPUT'!B88="T. ser",0.1225*('DATA INPUT'!F88*'DATA INPUT'!G88)^0.8272,IF('DATA INPUT'!B88="S. mel",(925.08*('DATA INPUT'!F88*'DATA INPUT'!G88)^1.1603)/1000,IF('DATA INPUT'!B88="V. ref",(776.29*('DATA INPUT'!F88*'DATA INPUT'!G88)^1.1226)/1000,IF('DATA INPUT'!B88=1,(884.6*('DATA INPUT'!F88*'DATA INPUT'!G88)^1.129)/1000,IF('DATA INPUT'!B88=2,0.1225*('DATA INPUT'!F88*'DATA INPUT'!G88)^0.8272,FALSE)))))</f>
        <v>0</v>
      </c>
      <c r="R84" s="3" t="b">
        <f>IF('DATA INPUT'!B88="T. ser",5.5287*('DATA INPUT'!H88*'DATA INPUT'!I88)^0.8272,IF('DATA INPUT'!B88="S. mel",(31469*('DATA INPUT'!H88*'DATA INPUT'!I88)^0.8608)/1000,IF('DATA INPUT'!B88="V. ref",(39394*('DATA INPUT'!H88*'DATA INPUT'!I88)^1.005)/1000,IF('DATA INPUT'!B88=1,(31791*('DATA INPUT'!H88*'DATA INPUT'!I88)^0.8467)/1000,IF('DATA INPUT'!B88=2,5.5287*('DATA INPUT'!H88*'DATA INPUT'!I88)^0.8272,FALSE)))))</f>
        <v>0</v>
      </c>
      <c r="S84" s="3" t="b">
        <f>IF('DATA INPUT'!B88="T. ser",0.0005*I84^0.5148,IF('DATA INPUT'!B88="S. mel",0.051*I84^0.7789/1000,IF('DATA INPUT'!B88="V. ref",0.0958*I84^0.7253/1000,IF('DATA INPUT'!B88=1,0.0426*I84^0.786/1000,IF('DATA INPUT'!B88=2,0.0005*I84^0.5148,FALSE)))))</f>
        <v>0</v>
      </c>
      <c r="T84" s="59">
        <f t="shared" si="9"/>
        <v>0</v>
      </c>
    </row>
    <row r="85" spans="1:20" x14ac:dyDescent="0.2">
      <c r="A85" s="218">
        <f>'DATA INPUT'!C89</f>
        <v>0</v>
      </c>
      <c r="B85" s="11" t="b">
        <f>IF('DATA INPUT'!B89="T. ser",0.1656*'DATA INPUT'!D89^1.4655,IF('DATA INPUT'!B89="S. mel",135.53*'DATA INPUT'!D89^3.8701/1000,IF('DATA INPUT'!B89="V. ref",143.01*'DATA INPUT'!D89^3.3147/1000,IF('DATA INPUT'!B89=1,143.35*'DATA INPUT'!D89^3.6046/1000,IF('DATA INPUT'!B89=2,0.1656*'DATA INPUT'!D89^1.4655,FALSE)))))</f>
        <v>0</v>
      </c>
      <c r="C85" s="8" t="b">
        <f>IF('DATA INPUT'!B89="T. ser",0.3356*'DATA INPUT'!E89^0.9984,IF('DATA INPUT'!B89="S. mel",24.906*'DATA INPUT'!E89^4.7681/1000,IF('DATA INPUT'!B89="V. ref",118.45*'DATA INPUT'!E89^3.5959/1000,IF('DATA INPUT'!B89=1,55.075*'DATA INPUT'!E89^4.0991/1000,IF('DATA INPUT'!B89=2,0.3356*'DATA INPUT'!E89^0.9984,FALSE)))))</f>
        <v>0</v>
      </c>
      <c r="D85" s="18" t="b">
        <f>IF('DATA INPUT'!B89="T. ser",0.0615*('DATA INPUT'!F89*'DATA INPUT'!G89)^0.9573,IF('DATA INPUT'!B89="S. mel",46.162*('DATA INPUT'!F89*'DATA INPUT'!G89)^2.3652/1000,IF('DATA INPUT'!B89="V. ref",90.34*('DATA INPUT'!F89*'DATA INPUT'!G89)^1.9756/1000,IF('DATA INPUT'!B89=1,63.022*('DATA INPUT'!F89*'DATA INPUT'!G89)^2.1551/1000,IF('DATA INPUT'!B89=2,0.0615*('DATA INPUT'!F89*'DATA INPUT'!G89)^0.9573,FALSE)))))</f>
        <v>0</v>
      </c>
      <c r="E85" s="8" t="b">
        <f>IF('DATA INPUT'!B89="T. ser",5.0562*('DATA INPUT'!H89*'DATA INPUT'!I89)^0.9574,IF('DATA INPUT'!B89="S. mel",44047*('DATA INPUT'!H89*'DATA INPUT'!I89)^1.5456/1000,IF('DATA INPUT'!B89="V. ref",91930*('DATA INPUT'!H89*'DATA INPUT'!I89)^1.7774/1000,IF('DATA INPUT'!B89=1,62601*('DATA INPUT'!H89*'DATA INPUT'!I89)^1.6463/1000,IF('DATA INPUT'!B89=2,5.0562*('DATA INPUT'!H89*'DATA INPUT'!I89)^0.9574,FALSE)))))</f>
        <v>0</v>
      </c>
      <c r="F85" s="18" t="b">
        <f>IF('DATA INPUT'!B89="T. ser",0.0009*I85^0.4477,IF('DATA INPUT'!B89="S. mel",0.0000004*I85^1.4912/1000,IF('DATA INPUT'!B89="V. ref",0.00000005*I85^1.6284/1000,IF('DATA INPUT'!B89=1,0.0000007*I85^1.4601/1000,IF('DATA INPUT'!B89=2,0.0009*I85^0.4477,FALSE)))))</f>
        <v>0</v>
      </c>
      <c r="G85" s="57">
        <f t="shared" si="10"/>
        <v>0</v>
      </c>
      <c r="H85" s="57"/>
      <c r="I85" s="2" t="b">
        <f>IF('DATA INPUT'!B89="T. ser",3.142*'DATA INPUT'!N89^2*'DATA INPUT'!O89/3+3.142*'DATA INPUT'!P89^2/3*(3*'DATA INPUT'!N89-'DATA INPUT'!P89),IF('DATA INPUT'!B89="S. mel",3.142*'DATA INPUT'!N89^2*'DATA INPUT'!O89/3+3.142*'DATA INPUT'!P89^2/3*(3*'DATA INPUT'!N89-'DATA INPUT'!P89),IF('DATA INPUT'!B89="V. ref",3.142*'DATA INPUT'!N89^2*'DATA INPUT'!O89/3+3.142*'DATA INPUT'!P89^2/3*(3*'DATA INPUT'!N89-'DATA INPUT'!P89),IF('DATA INPUT'!B89=1,3.142*'DATA INPUT'!N89^2*'DATA INPUT'!O89/3+3.142*'DATA INPUT'!P89^2/3*(3*'DATA INPUT'!N89-'DATA INPUT'!P89),IF('DATA INPUT'!B89=2,3.142*'DATA INPUT'!N89^2*'DATA INPUT'!O89/3+3.142*'DATA INPUT'!P89^2/3*(3*'DATA INPUT'!N89-'DATA INPUT'!P89),FALSE)))))</f>
        <v>0</v>
      </c>
      <c r="J85" s="2" t="b">
        <f>IF('DATA INPUT'!B89="T. ser",0.0458*CALCULATIONS!I85^0.6841,IF('DATA INPUT'!B89="S. mel",0.6047*CALCULATIONS!I85^0.6433,IF('DATA INPUT'!B89="V. ref",0.77086*CALCULATIONS!I85^0.4936,IF('DATA INPUT'!B89=1,0.68778*CALCULATIONS!I85^0.56845,IF('DATA INPUT'!B89=2,0.0458*CALCULATIONS!I85^0.6841,FALSE)))))</f>
        <v>0</v>
      </c>
      <c r="K85" s="3">
        <f t="shared" si="8"/>
        <v>0</v>
      </c>
      <c r="L85" s="3" t="b">
        <f>IF('DATA INPUT'!B89="T. ser",('DATA INPUT'!D89+'DATA INPUT'!F89+'DATA INPUT'!H89+'DATA INPUT'!J89)/1.5,IF('DATA INPUT'!B89="V. ref",('DATA INPUT'!D89+'DATA INPUT'!F89+'DATA INPUT'!H89+'DATA INPUT'!J89)/1.5,IF('DATA INPUT'!B89="S. mel",('DATA INPUT'!D89+'DATA INPUT'!F89+'DATA INPUT'!H89+'DATA INPUT'!J89)/1.5,IF('DATA INPUT'!B89=1,('DATA INPUT'!D89+'DATA INPUT'!F89+'DATA INPUT'!H89+'DATA INPUT'!J89)/1.5,IF('DATA INPUT'!B89=2,('DATA INPUT'!D89+'DATA INPUT'!F89+'DATA INPUT'!H89+'DATA INPUT'!J89)/1.5,FALSE)))))</f>
        <v>0</v>
      </c>
      <c r="N85" s="16">
        <f>'DATA INPUT'!C89</f>
        <v>0</v>
      </c>
      <c r="O85" s="3" t="b">
        <f>IF('DATA INPUT'!B89="T. ser",0.3446*'DATA INPUT'!D89^1.0619,IF('DATA INPUT'!B89="S. mel",(1270.6*'DATA INPUT'!D89^2.0933)/1000,IF('DATA INPUT'!B89="V. ref",(816.25*'DATA INPUT'!D89^2.1754)/1000,IF('DATA INPUT'!B89=1,(1492.4*'DATA INPUT'!D89^1.7591)/1000,IF('DATA INPUT'!B89=2,0.3446*'DATA INPUT'!D89^1.0619,FALSE)))))</f>
        <v>0</v>
      </c>
      <c r="P85" s="3" t="b">
        <f>IF('DATA INPUT'!B89="T. ser",0.3662*'DATA INPUT'!E89^1.5061,IF('DATA INPUT'!B89="S. mel",(748.47*'DATA INPUT'!E89^2.2691)/1000,IF('DATA INPUT'!B89="V. ref",(953.69*'DATA INPUT'!E89^1.9524)/1000,IF('DATA INPUT'!B89=1,(695.02*'DATA INPUT'!E89^2.3452)/1000,IF('DATA INPUT'!B89=2,0.3662*'DATA INPUT'!E89^1.5061,FALSE)))))</f>
        <v>0</v>
      </c>
      <c r="Q85" s="3" t="b">
        <f>IF('DATA INPUT'!B89="T. ser",0.1225*('DATA INPUT'!F89*'DATA INPUT'!G89)^0.8272,IF('DATA INPUT'!B89="S. mel",(925.08*('DATA INPUT'!F89*'DATA INPUT'!G89)^1.1603)/1000,IF('DATA INPUT'!B89="V. ref",(776.29*('DATA INPUT'!F89*'DATA INPUT'!G89)^1.1226)/1000,IF('DATA INPUT'!B89=1,(884.6*('DATA INPUT'!F89*'DATA INPUT'!G89)^1.129)/1000,IF('DATA INPUT'!B89=2,0.1225*('DATA INPUT'!F89*'DATA INPUT'!G89)^0.8272,FALSE)))))</f>
        <v>0</v>
      </c>
      <c r="R85" s="3" t="b">
        <f>IF('DATA INPUT'!B89="T. ser",5.5287*('DATA INPUT'!H89*'DATA INPUT'!I89)^0.8272,IF('DATA INPUT'!B89="S. mel",(31469*('DATA INPUT'!H89*'DATA INPUT'!I89)^0.8608)/1000,IF('DATA INPUT'!B89="V. ref",(39394*('DATA INPUT'!H89*'DATA INPUT'!I89)^1.005)/1000,IF('DATA INPUT'!B89=1,(31791*('DATA INPUT'!H89*'DATA INPUT'!I89)^0.8467)/1000,IF('DATA INPUT'!B89=2,5.5287*('DATA INPUT'!H89*'DATA INPUT'!I89)^0.8272,FALSE)))))</f>
        <v>0</v>
      </c>
      <c r="S85" s="3" t="b">
        <f>IF('DATA INPUT'!B89="T. ser",0.0005*I85^0.5148,IF('DATA INPUT'!B89="S. mel",0.051*I85^0.7789/1000,IF('DATA INPUT'!B89="V. ref",0.0958*I85^0.7253/1000,IF('DATA INPUT'!B89=1,0.0426*I85^0.786/1000,IF('DATA INPUT'!B89=2,0.0005*I85^0.5148,FALSE)))))</f>
        <v>0</v>
      </c>
      <c r="T85" s="59">
        <f t="shared" si="9"/>
        <v>0</v>
      </c>
    </row>
    <row r="86" spans="1:20" x14ac:dyDescent="0.2">
      <c r="A86" s="218">
        <f>'DATA INPUT'!C90</f>
        <v>0</v>
      </c>
      <c r="B86" s="11" t="b">
        <f>IF('DATA INPUT'!B90="T. ser",0.1656*'DATA INPUT'!D90^1.4655,IF('DATA INPUT'!B90="S. mel",135.53*'DATA INPUT'!D90^3.8701/1000,IF('DATA INPUT'!B90="V. ref",143.01*'DATA INPUT'!D90^3.3147/1000,IF('DATA INPUT'!B90=1,143.35*'DATA INPUT'!D90^3.6046/1000,IF('DATA INPUT'!B90=2,0.1656*'DATA INPUT'!D90^1.4655,FALSE)))))</f>
        <v>0</v>
      </c>
      <c r="C86" s="8" t="b">
        <f>IF('DATA INPUT'!B90="T. ser",0.3356*'DATA INPUT'!E90^0.9984,IF('DATA INPUT'!B90="S. mel",24.906*'DATA INPUT'!E90^4.7681/1000,IF('DATA INPUT'!B90="V. ref",118.45*'DATA INPUT'!E90^3.5959/1000,IF('DATA INPUT'!B90=1,55.075*'DATA INPUT'!E90^4.0991/1000,IF('DATA INPUT'!B90=2,0.3356*'DATA INPUT'!E90^0.9984,FALSE)))))</f>
        <v>0</v>
      </c>
      <c r="D86" s="18" t="b">
        <f>IF('DATA INPUT'!B90="T. ser",0.0615*('DATA INPUT'!F90*'DATA INPUT'!G90)^0.9573,IF('DATA INPUT'!B90="S. mel",46.162*('DATA INPUT'!F90*'DATA INPUT'!G90)^2.3652/1000,IF('DATA INPUT'!B90="V. ref",90.34*('DATA INPUT'!F90*'DATA INPUT'!G90)^1.9756/1000,IF('DATA INPUT'!B90=1,63.022*('DATA INPUT'!F90*'DATA INPUT'!G90)^2.1551/1000,IF('DATA INPUT'!B90=2,0.0615*('DATA INPUT'!F90*'DATA INPUT'!G90)^0.9573,FALSE)))))</f>
        <v>0</v>
      </c>
      <c r="E86" s="8" t="b">
        <f>IF('DATA INPUT'!B90="T. ser",5.0562*('DATA INPUT'!H90*'DATA INPUT'!I90)^0.9574,IF('DATA INPUT'!B90="S. mel",44047*('DATA INPUT'!H90*'DATA INPUT'!I90)^1.5456/1000,IF('DATA INPUT'!B90="V. ref",91930*('DATA INPUT'!H90*'DATA INPUT'!I90)^1.7774/1000,IF('DATA INPUT'!B90=1,62601*('DATA INPUT'!H90*'DATA INPUT'!I90)^1.6463/1000,IF('DATA INPUT'!B90=2,5.0562*('DATA INPUT'!H90*'DATA INPUT'!I90)^0.9574,FALSE)))))</f>
        <v>0</v>
      </c>
      <c r="F86" s="18" t="b">
        <f>IF('DATA INPUT'!B90="T. ser",0.0009*I86^0.4477,IF('DATA INPUT'!B90="S. mel",0.0000004*I86^1.4912/1000,IF('DATA INPUT'!B90="V. ref",0.00000005*I86^1.6284/1000,IF('DATA INPUT'!B90=1,0.0000007*I86^1.4601/1000,IF('DATA INPUT'!B90=2,0.0009*I86^0.4477,FALSE)))))</f>
        <v>0</v>
      </c>
      <c r="G86" s="57">
        <f t="shared" si="10"/>
        <v>0</v>
      </c>
      <c r="H86" s="57"/>
      <c r="I86" s="2" t="b">
        <f>IF('DATA INPUT'!B90="T. ser",3.142*'DATA INPUT'!N90^2*'DATA INPUT'!O90/3+3.142*'DATA INPUT'!P90^2/3*(3*'DATA INPUT'!N90-'DATA INPUT'!P90),IF('DATA INPUT'!B90="S. mel",3.142*'DATA INPUT'!N90^2*'DATA INPUT'!O90/3+3.142*'DATA INPUT'!P90^2/3*(3*'DATA INPUT'!N90-'DATA INPUT'!P90),IF('DATA INPUT'!B90="V. ref",3.142*'DATA INPUT'!N90^2*'DATA INPUT'!O90/3+3.142*'DATA INPUT'!P90^2/3*(3*'DATA INPUT'!N90-'DATA INPUT'!P90),IF('DATA INPUT'!B90=1,3.142*'DATA INPUT'!N90^2*'DATA INPUT'!O90/3+3.142*'DATA INPUT'!P90^2/3*(3*'DATA INPUT'!N90-'DATA INPUT'!P90),IF('DATA INPUT'!B90=2,3.142*'DATA INPUT'!N90^2*'DATA INPUT'!O90/3+3.142*'DATA INPUT'!P90^2/3*(3*'DATA INPUT'!N90-'DATA INPUT'!P90),FALSE)))))</f>
        <v>0</v>
      </c>
      <c r="J86" s="2" t="b">
        <f>IF('DATA INPUT'!B90="T. ser",0.0458*CALCULATIONS!I86^0.6841,IF('DATA INPUT'!B90="S. mel",0.6047*CALCULATIONS!I86^0.6433,IF('DATA INPUT'!B90="V. ref",0.77086*CALCULATIONS!I86^0.4936,IF('DATA INPUT'!B90=1,0.68778*CALCULATIONS!I86^0.56845,IF('DATA INPUT'!B90=2,0.0458*CALCULATIONS!I86^0.6841,FALSE)))))</f>
        <v>0</v>
      </c>
      <c r="K86" s="3">
        <f t="shared" si="8"/>
        <v>0</v>
      </c>
      <c r="L86" s="3" t="b">
        <f>IF('DATA INPUT'!B90="T. ser",('DATA INPUT'!D90+'DATA INPUT'!F90+'DATA INPUT'!H90+'DATA INPUT'!J90)/1.5,IF('DATA INPUT'!B90="V. ref",('DATA INPUT'!D90+'DATA INPUT'!F90+'DATA INPUT'!H90+'DATA INPUT'!J90)/1.5,IF('DATA INPUT'!B90="S. mel",('DATA INPUT'!D90+'DATA INPUT'!F90+'DATA INPUT'!H90+'DATA INPUT'!J90)/1.5,IF('DATA INPUT'!B90=1,('DATA INPUT'!D90+'DATA INPUT'!F90+'DATA INPUT'!H90+'DATA INPUT'!J90)/1.5,IF('DATA INPUT'!B90=2,('DATA INPUT'!D90+'DATA INPUT'!F90+'DATA INPUT'!H90+'DATA INPUT'!J90)/1.5,FALSE)))))</f>
        <v>0</v>
      </c>
      <c r="N86" s="16">
        <f>'DATA INPUT'!C90</f>
        <v>0</v>
      </c>
      <c r="O86" s="3" t="b">
        <f>IF('DATA INPUT'!B90="T. ser",0.3446*'DATA INPUT'!D90^1.0619,IF('DATA INPUT'!B90="S. mel",(1270.6*'DATA INPUT'!D90^2.0933)/1000,IF('DATA INPUT'!B90="V. ref",(816.25*'DATA INPUT'!D90^2.1754)/1000,IF('DATA INPUT'!B90=1,(1492.4*'DATA INPUT'!D90^1.7591)/1000,IF('DATA INPUT'!B90=2,0.3446*'DATA INPUT'!D90^1.0619,FALSE)))))</f>
        <v>0</v>
      </c>
      <c r="P86" s="3" t="b">
        <f>IF('DATA INPUT'!B90="T. ser",0.3662*'DATA INPUT'!E90^1.5061,IF('DATA INPUT'!B90="S. mel",(748.47*'DATA INPUT'!E90^2.2691)/1000,IF('DATA INPUT'!B90="V. ref",(953.69*'DATA INPUT'!E90^1.9524)/1000,IF('DATA INPUT'!B90=1,(695.02*'DATA INPUT'!E90^2.3452)/1000,IF('DATA INPUT'!B90=2,0.3662*'DATA INPUT'!E90^1.5061,FALSE)))))</f>
        <v>0</v>
      </c>
      <c r="Q86" s="3" t="b">
        <f>IF('DATA INPUT'!B90="T. ser",0.1225*('DATA INPUT'!F90*'DATA INPUT'!G90)^0.8272,IF('DATA INPUT'!B90="S. mel",(925.08*('DATA INPUT'!F90*'DATA INPUT'!G90)^1.1603)/1000,IF('DATA INPUT'!B90="V. ref",(776.29*('DATA INPUT'!F90*'DATA INPUT'!G90)^1.1226)/1000,IF('DATA INPUT'!B90=1,(884.6*('DATA INPUT'!F90*'DATA INPUT'!G90)^1.129)/1000,IF('DATA INPUT'!B90=2,0.1225*('DATA INPUT'!F90*'DATA INPUT'!G90)^0.8272,FALSE)))))</f>
        <v>0</v>
      </c>
      <c r="R86" s="3" t="b">
        <f>IF('DATA INPUT'!B90="T. ser",5.5287*('DATA INPUT'!H90*'DATA INPUT'!I90)^0.8272,IF('DATA INPUT'!B90="S. mel",(31469*('DATA INPUT'!H90*'DATA INPUT'!I90)^0.8608)/1000,IF('DATA INPUT'!B90="V. ref",(39394*('DATA INPUT'!H90*'DATA INPUT'!I90)^1.005)/1000,IF('DATA INPUT'!B90=1,(31791*('DATA INPUT'!H90*'DATA INPUT'!I90)^0.8467)/1000,IF('DATA INPUT'!B90=2,5.5287*('DATA INPUT'!H90*'DATA INPUT'!I90)^0.8272,FALSE)))))</f>
        <v>0</v>
      </c>
      <c r="S86" s="3" t="b">
        <f>IF('DATA INPUT'!B90="T. ser",0.0005*I86^0.5148,IF('DATA INPUT'!B90="S. mel",0.051*I86^0.7789/1000,IF('DATA INPUT'!B90="V. ref",0.0958*I86^0.7253/1000,IF('DATA INPUT'!B90=1,0.0426*I86^0.786/1000,IF('DATA INPUT'!B90=2,0.0005*I86^0.5148,FALSE)))))</f>
        <v>0</v>
      </c>
      <c r="T86" s="59">
        <f t="shared" si="9"/>
        <v>0</v>
      </c>
    </row>
    <row r="87" spans="1:20" x14ac:dyDescent="0.2">
      <c r="A87" s="218">
        <f>'DATA INPUT'!C91</f>
        <v>0</v>
      </c>
      <c r="B87" s="11" t="b">
        <f>IF('DATA INPUT'!B91="T. ser",0.1656*'DATA INPUT'!D91^1.4655,IF('DATA INPUT'!B91="S. mel",135.53*'DATA INPUT'!D91^3.8701/1000,IF('DATA INPUT'!B91="V. ref",143.01*'DATA INPUT'!D91^3.3147/1000,IF('DATA INPUT'!B91=1,143.35*'DATA INPUT'!D91^3.6046/1000,IF('DATA INPUT'!B91=2,0.1656*'DATA INPUT'!D91^1.4655,FALSE)))))</f>
        <v>0</v>
      </c>
      <c r="C87" s="8" t="b">
        <f>IF('DATA INPUT'!B91="T. ser",0.3356*'DATA INPUT'!E91^0.9984,IF('DATA INPUT'!B91="S. mel",24.906*'DATA INPUT'!E91^4.7681/1000,IF('DATA INPUT'!B91="V. ref",118.45*'DATA INPUT'!E91^3.5959/1000,IF('DATA INPUT'!B91=1,55.075*'DATA INPUT'!E91^4.0991/1000,IF('DATA INPUT'!B91=2,0.3356*'DATA INPUT'!E91^0.9984,FALSE)))))</f>
        <v>0</v>
      </c>
      <c r="D87" s="18" t="b">
        <f>IF('DATA INPUT'!B91="T. ser",0.0615*('DATA INPUT'!F91*'DATA INPUT'!G91)^0.9573,IF('DATA INPUT'!B91="S. mel",46.162*('DATA INPUT'!F91*'DATA INPUT'!G91)^2.3652/1000,IF('DATA INPUT'!B91="V. ref",90.34*('DATA INPUT'!F91*'DATA INPUT'!G91)^1.9756/1000,IF('DATA INPUT'!B91=1,63.022*('DATA INPUT'!F91*'DATA INPUT'!G91)^2.1551/1000,IF('DATA INPUT'!B91=2,0.0615*('DATA INPUT'!F91*'DATA INPUT'!G91)^0.9573,FALSE)))))</f>
        <v>0</v>
      </c>
      <c r="E87" s="8" t="b">
        <f>IF('DATA INPUT'!B91="T. ser",5.0562*('DATA INPUT'!H91*'DATA INPUT'!I91)^0.9574,IF('DATA INPUT'!B91="S. mel",44047*('DATA INPUT'!H91*'DATA INPUT'!I91)^1.5456/1000,IF('DATA INPUT'!B91="V. ref",91930*('DATA INPUT'!H91*'DATA INPUT'!I91)^1.7774/1000,IF('DATA INPUT'!B91=1,62601*('DATA INPUT'!H91*'DATA INPUT'!I91)^1.6463/1000,IF('DATA INPUT'!B91=2,5.0562*('DATA INPUT'!H91*'DATA INPUT'!I91)^0.9574,FALSE)))))</f>
        <v>0</v>
      </c>
      <c r="F87" s="18" t="b">
        <f>IF('DATA INPUT'!B91="T. ser",0.0009*I87^0.4477,IF('DATA INPUT'!B91="S. mel",0.0000004*I87^1.4912/1000,IF('DATA INPUT'!B91="V. ref",0.00000005*I87^1.6284/1000,IF('DATA INPUT'!B91=1,0.0000007*I87^1.4601/1000,IF('DATA INPUT'!B91=2,0.0009*I87^0.4477,FALSE)))))</f>
        <v>0</v>
      </c>
      <c r="G87" s="57">
        <f t="shared" si="10"/>
        <v>0</v>
      </c>
      <c r="H87" s="57"/>
      <c r="I87" s="2" t="b">
        <f>IF('DATA INPUT'!B91="T. ser",3.142*'DATA INPUT'!N91^2*'DATA INPUT'!O91/3+3.142*'DATA INPUT'!P91^2/3*(3*'DATA INPUT'!N91-'DATA INPUT'!P91),IF('DATA INPUT'!B91="S. mel",3.142*'DATA INPUT'!N91^2*'DATA INPUT'!O91/3+3.142*'DATA INPUT'!P91^2/3*(3*'DATA INPUT'!N91-'DATA INPUT'!P91),IF('DATA INPUT'!B91="V. ref",3.142*'DATA INPUT'!N91^2*'DATA INPUT'!O91/3+3.142*'DATA INPUT'!P91^2/3*(3*'DATA INPUT'!N91-'DATA INPUT'!P91),IF('DATA INPUT'!B91=1,3.142*'DATA INPUT'!N91^2*'DATA INPUT'!O91/3+3.142*'DATA INPUT'!P91^2/3*(3*'DATA INPUT'!N91-'DATA INPUT'!P91),IF('DATA INPUT'!B91=2,3.142*'DATA INPUT'!N91^2*'DATA INPUT'!O91/3+3.142*'DATA INPUT'!P91^2/3*(3*'DATA INPUT'!N91-'DATA INPUT'!P91),FALSE)))))</f>
        <v>0</v>
      </c>
      <c r="J87" s="2" t="b">
        <f>IF('DATA INPUT'!B91="T. ser",0.0458*CALCULATIONS!I87^0.6841,IF('DATA INPUT'!B91="S. mel",0.6047*CALCULATIONS!I87^0.6433,IF('DATA INPUT'!B91="V. ref",0.77086*CALCULATIONS!I87^0.4936,IF('DATA INPUT'!B91=1,0.68778*CALCULATIONS!I87^0.56845,IF('DATA INPUT'!B91=2,0.0458*CALCULATIONS!I87^0.6841,FALSE)))))</f>
        <v>0</v>
      </c>
      <c r="K87" s="3">
        <f t="shared" si="8"/>
        <v>0</v>
      </c>
      <c r="L87" s="3" t="b">
        <f>IF('DATA INPUT'!B91="T. ser",('DATA INPUT'!D91+'DATA INPUT'!F91+'DATA INPUT'!H91+'DATA INPUT'!J91)/1.5,IF('DATA INPUT'!B91="V. ref",('DATA INPUT'!D91+'DATA INPUT'!F91+'DATA INPUT'!H91+'DATA INPUT'!J91)/1.5,IF('DATA INPUT'!B91="S. mel",('DATA INPUT'!D91+'DATA INPUT'!F91+'DATA INPUT'!H91+'DATA INPUT'!J91)/1.5,IF('DATA INPUT'!B91=1,('DATA INPUT'!D91+'DATA INPUT'!F91+'DATA INPUT'!H91+'DATA INPUT'!J91)/1.5,IF('DATA INPUT'!B91=2,('DATA INPUT'!D91+'DATA INPUT'!F91+'DATA INPUT'!H91+'DATA INPUT'!J91)/1.5,FALSE)))))</f>
        <v>0</v>
      </c>
      <c r="N87" s="16">
        <f>'DATA INPUT'!C91</f>
        <v>0</v>
      </c>
      <c r="O87" s="3" t="b">
        <f>IF('DATA INPUT'!B91="T. ser",0.3446*'DATA INPUT'!D91^1.0619,IF('DATA INPUT'!B91="S. mel",(1270.6*'DATA INPUT'!D91^2.0933)/1000,IF('DATA INPUT'!B91="V. ref",(816.25*'DATA INPUT'!D91^2.1754)/1000,IF('DATA INPUT'!B91=1,(1492.4*'DATA INPUT'!D91^1.7591)/1000,IF('DATA INPUT'!B91=2,0.3446*'DATA INPUT'!D91^1.0619,FALSE)))))</f>
        <v>0</v>
      </c>
      <c r="P87" s="3" t="b">
        <f>IF('DATA INPUT'!B91="T. ser",0.3662*'DATA INPUT'!E91^1.5061,IF('DATA INPUT'!B91="S. mel",(748.47*'DATA INPUT'!E91^2.2691)/1000,IF('DATA INPUT'!B91="V. ref",(953.69*'DATA INPUT'!E91^1.9524)/1000,IF('DATA INPUT'!B91=1,(695.02*'DATA INPUT'!E91^2.3452)/1000,IF('DATA INPUT'!B91=2,0.3662*'DATA INPUT'!E91^1.5061,FALSE)))))</f>
        <v>0</v>
      </c>
      <c r="Q87" s="3" t="b">
        <f>IF('DATA INPUT'!B91="T. ser",0.1225*('DATA INPUT'!F91*'DATA INPUT'!G91)^0.8272,IF('DATA INPUT'!B91="S. mel",(925.08*('DATA INPUT'!F91*'DATA INPUT'!G91)^1.1603)/1000,IF('DATA INPUT'!B91="V. ref",(776.29*('DATA INPUT'!F91*'DATA INPUT'!G91)^1.1226)/1000,IF('DATA INPUT'!B91=1,(884.6*('DATA INPUT'!F91*'DATA INPUT'!G91)^1.129)/1000,IF('DATA INPUT'!B91=2,0.1225*('DATA INPUT'!F91*'DATA INPUT'!G91)^0.8272,FALSE)))))</f>
        <v>0</v>
      </c>
      <c r="R87" s="3" t="b">
        <f>IF('DATA INPUT'!B91="T. ser",5.5287*('DATA INPUT'!H91*'DATA INPUT'!I91)^0.8272,IF('DATA INPUT'!B91="S. mel",(31469*('DATA INPUT'!H91*'DATA INPUT'!I91)^0.8608)/1000,IF('DATA INPUT'!B91="V. ref",(39394*('DATA INPUT'!H91*'DATA INPUT'!I91)^1.005)/1000,IF('DATA INPUT'!B91=1,(31791*('DATA INPUT'!H91*'DATA INPUT'!I91)^0.8467)/1000,IF('DATA INPUT'!B91=2,5.5287*('DATA INPUT'!H91*'DATA INPUT'!I91)^0.8272,FALSE)))))</f>
        <v>0</v>
      </c>
      <c r="S87" s="3" t="b">
        <f>IF('DATA INPUT'!B91="T. ser",0.0005*I87^0.5148,IF('DATA INPUT'!B91="S. mel",0.051*I87^0.7789/1000,IF('DATA INPUT'!B91="V. ref",0.0958*I87^0.7253/1000,IF('DATA INPUT'!B91=1,0.0426*I87^0.786/1000,IF('DATA INPUT'!B91=2,0.0005*I87^0.5148,FALSE)))))</f>
        <v>0</v>
      </c>
      <c r="T87" s="59">
        <f t="shared" si="9"/>
        <v>0</v>
      </c>
    </row>
    <row r="88" spans="1:20" x14ac:dyDescent="0.2">
      <c r="A88" s="218">
        <f>'DATA INPUT'!C92</f>
        <v>0</v>
      </c>
      <c r="B88" s="11" t="b">
        <f>IF('DATA INPUT'!B92="T. ser",0.1656*'DATA INPUT'!D92^1.4655,IF('DATA INPUT'!B92="S. mel",135.53*'DATA INPUT'!D92^3.8701/1000,IF('DATA INPUT'!B92="V. ref",143.01*'DATA INPUT'!D92^3.3147/1000,IF('DATA INPUT'!B92=1,143.35*'DATA INPUT'!D92^3.6046/1000,IF('DATA INPUT'!B92=2,0.1656*'DATA INPUT'!D92^1.4655,FALSE)))))</f>
        <v>0</v>
      </c>
      <c r="C88" s="8" t="b">
        <f>IF('DATA INPUT'!B92="T. ser",0.3356*'DATA INPUT'!E92^0.9984,IF('DATA INPUT'!B92="S. mel",24.906*'DATA INPUT'!E92^4.7681/1000,IF('DATA INPUT'!B92="V. ref",118.45*'DATA INPUT'!E92^3.5959/1000,IF('DATA INPUT'!B92=1,55.075*'DATA INPUT'!E92^4.0991/1000,IF('DATA INPUT'!B92=2,0.3356*'DATA INPUT'!E92^0.9984,FALSE)))))</f>
        <v>0</v>
      </c>
      <c r="D88" s="18" t="b">
        <f>IF('DATA INPUT'!B92="T. ser",0.0615*('DATA INPUT'!F92*'DATA INPUT'!G92)^0.9573,IF('DATA INPUT'!B92="S. mel",46.162*('DATA INPUT'!F92*'DATA INPUT'!G92)^2.3652/1000,IF('DATA INPUT'!B92="V. ref",90.34*('DATA INPUT'!F92*'DATA INPUT'!G92)^1.9756/1000,IF('DATA INPUT'!B92=1,63.022*('DATA INPUT'!F92*'DATA INPUT'!G92)^2.1551/1000,IF('DATA INPUT'!B92=2,0.0615*('DATA INPUT'!F92*'DATA INPUT'!G92)^0.9573,FALSE)))))</f>
        <v>0</v>
      </c>
      <c r="E88" s="8" t="b">
        <f>IF('DATA INPUT'!B92="T. ser",5.0562*('DATA INPUT'!H92*'DATA INPUT'!I92)^0.9574,IF('DATA INPUT'!B92="S. mel",44047*('DATA INPUT'!H92*'DATA INPUT'!I92)^1.5456/1000,IF('DATA INPUT'!B92="V. ref",91930*('DATA INPUT'!H92*'DATA INPUT'!I92)^1.7774/1000,IF('DATA INPUT'!B92=1,62601*('DATA INPUT'!H92*'DATA INPUT'!I92)^1.6463/1000,IF('DATA INPUT'!B92=2,5.0562*('DATA INPUT'!H92*'DATA INPUT'!I92)^0.9574,FALSE)))))</f>
        <v>0</v>
      </c>
      <c r="F88" s="18" t="b">
        <f>IF('DATA INPUT'!B92="T. ser",0.0009*I88^0.4477,IF('DATA INPUT'!B92="S. mel",0.0000004*I88^1.4912/1000,IF('DATA INPUT'!B92="V. ref",0.00000005*I88^1.6284/1000,IF('DATA INPUT'!B92=1,0.0000007*I88^1.4601/1000,IF('DATA INPUT'!B92=2,0.0009*I88^0.4477,FALSE)))))</f>
        <v>0</v>
      </c>
      <c r="G88" s="57">
        <f t="shared" si="10"/>
        <v>0</v>
      </c>
      <c r="H88" s="57"/>
      <c r="I88" s="2" t="b">
        <f>IF('DATA INPUT'!B92="T. ser",3.142*'DATA INPUT'!N92^2*'DATA INPUT'!O92/3+3.142*'DATA INPUT'!P92^2/3*(3*'DATA INPUT'!N92-'DATA INPUT'!P92),IF('DATA INPUT'!B92="S. mel",3.142*'DATA INPUT'!N92^2*'DATA INPUT'!O92/3+3.142*'DATA INPUT'!P92^2/3*(3*'DATA INPUT'!N92-'DATA INPUT'!P92),IF('DATA INPUT'!B92="V. ref",3.142*'DATA INPUT'!N92^2*'DATA INPUT'!O92/3+3.142*'DATA INPUT'!P92^2/3*(3*'DATA INPUT'!N92-'DATA INPUT'!P92),IF('DATA INPUT'!B92=1,3.142*'DATA INPUT'!N92^2*'DATA INPUT'!O92/3+3.142*'DATA INPUT'!P92^2/3*(3*'DATA INPUT'!N92-'DATA INPUT'!P92),IF('DATA INPUT'!B92=2,3.142*'DATA INPUT'!N92^2*'DATA INPUT'!O92/3+3.142*'DATA INPUT'!P92^2/3*(3*'DATA INPUT'!N92-'DATA INPUT'!P92),FALSE)))))</f>
        <v>0</v>
      </c>
      <c r="J88" s="2" t="b">
        <f>IF('DATA INPUT'!B92="T. ser",0.0458*CALCULATIONS!I88^0.6841,IF('DATA INPUT'!B92="S. mel",0.6047*CALCULATIONS!I88^0.6433,IF('DATA INPUT'!B92="V. ref",0.77086*CALCULATIONS!I88^0.4936,IF('DATA INPUT'!B92=1,0.68778*CALCULATIONS!I88^0.56845,IF('DATA INPUT'!B92=2,0.0458*CALCULATIONS!I88^0.6841,FALSE)))))</f>
        <v>0</v>
      </c>
      <c r="K88" s="3">
        <f t="shared" si="8"/>
        <v>0</v>
      </c>
      <c r="L88" s="3" t="b">
        <f>IF('DATA INPUT'!B92="T. ser",('DATA INPUT'!D92+'DATA INPUT'!F92+'DATA INPUT'!H92+'DATA INPUT'!J92)/1.5,IF('DATA INPUT'!B92="V. ref",('DATA INPUT'!D92+'DATA INPUT'!F92+'DATA INPUT'!H92+'DATA INPUT'!J92)/1.5,IF('DATA INPUT'!B92="S. mel",('DATA INPUT'!D92+'DATA INPUT'!F92+'DATA INPUT'!H92+'DATA INPUT'!J92)/1.5,IF('DATA INPUT'!B92=1,('DATA INPUT'!D92+'DATA INPUT'!F92+'DATA INPUT'!H92+'DATA INPUT'!J92)/1.5,IF('DATA INPUT'!B92=2,('DATA INPUT'!D92+'DATA INPUT'!F92+'DATA INPUT'!H92+'DATA INPUT'!J92)/1.5,FALSE)))))</f>
        <v>0</v>
      </c>
      <c r="N88" s="16">
        <f>'DATA INPUT'!C92</f>
        <v>0</v>
      </c>
      <c r="O88" s="3" t="b">
        <f>IF('DATA INPUT'!B92="T. ser",0.3446*'DATA INPUT'!D92^1.0619,IF('DATA INPUT'!B92="S. mel",(1270.6*'DATA INPUT'!D92^2.0933)/1000,IF('DATA INPUT'!B92="V. ref",(816.25*'DATA INPUT'!D92^2.1754)/1000,IF('DATA INPUT'!B92=1,(1492.4*'DATA INPUT'!D92^1.7591)/1000,IF('DATA INPUT'!B92=2,0.3446*'DATA INPUT'!D92^1.0619,FALSE)))))</f>
        <v>0</v>
      </c>
      <c r="P88" s="3" t="b">
        <f>IF('DATA INPUT'!B92="T. ser",0.3662*'DATA INPUT'!E92^1.5061,IF('DATA INPUT'!B92="S. mel",(748.47*'DATA INPUT'!E92^2.2691)/1000,IF('DATA INPUT'!B92="V. ref",(953.69*'DATA INPUT'!E92^1.9524)/1000,IF('DATA INPUT'!B92=1,(695.02*'DATA INPUT'!E92^2.3452)/1000,IF('DATA INPUT'!B92=2,0.3662*'DATA INPUT'!E92^1.5061,FALSE)))))</f>
        <v>0</v>
      </c>
      <c r="Q88" s="3" t="b">
        <f>IF('DATA INPUT'!B92="T. ser",0.1225*('DATA INPUT'!F92*'DATA INPUT'!G92)^0.8272,IF('DATA INPUT'!B92="S. mel",(925.08*('DATA INPUT'!F92*'DATA INPUT'!G92)^1.1603)/1000,IF('DATA INPUT'!B92="V. ref",(776.29*('DATA INPUT'!F92*'DATA INPUT'!G92)^1.1226)/1000,IF('DATA INPUT'!B92=1,(884.6*('DATA INPUT'!F92*'DATA INPUT'!G92)^1.129)/1000,IF('DATA INPUT'!B92=2,0.1225*('DATA INPUT'!F92*'DATA INPUT'!G92)^0.8272,FALSE)))))</f>
        <v>0</v>
      </c>
      <c r="R88" s="3" t="b">
        <f>IF('DATA INPUT'!B92="T. ser",5.5287*('DATA INPUT'!H92*'DATA INPUT'!I92)^0.8272,IF('DATA INPUT'!B92="S. mel",(31469*('DATA INPUT'!H92*'DATA INPUT'!I92)^0.8608)/1000,IF('DATA INPUT'!B92="V. ref",(39394*('DATA INPUT'!H92*'DATA INPUT'!I92)^1.005)/1000,IF('DATA INPUT'!B92=1,(31791*('DATA INPUT'!H92*'DATA INPUT'!I92)^0.8467)/1000,IF('DATA INPUT'!B92=2,5.5287*('DATA INPUT'!H92*'DATA INPUT'!I92)^0.8272,FALSE)))))</f>
        <v>0</v>
      </c>
      <c r="S88" s="3" t="b">
        <f>IF('DATA INPUT'!B92="T. ser",0.0005*I88^0.5148,IF('DATA INPUT'!B92="S. mel",0.051*I88^0.7789/1000,IF('DATA INPUT'!B92="V. ref",0.0958*I88^0.7253/1000,IF('DATA INPUT'!B92=1,0.0426*I88^0.786/1000,IF('DATA INPUT'!B92=2,0.0005*I88^0.5148,FALSE)))))</f>
        <v>0</v>
      </c>
      <c r="T88" s="59">
        <f t="shared" si="9"/>
        <v>0</v>
      </c>
    </row>
    <row r="89" spans="1:20" x14ac:dyDescent="0.2">
      <c r="A89" s="218">
        <f>'DATA INPUT'!C93</f>
        <v>0</v>
      </c>
      <c r="B89" s="11" t="b">
        <f>IF('DATA INPUT'!B93="T. ser",0.1656*'DATA INPUT'!D93^1.4655,IF('DATA INPUT'!B93="S. mel",135.53*'DATA INPUT'!D93^3.8701/1000,IF('DATA INPUT'!B93="V. ref",143.01*'DATA INPUT'!D93^3.3147/1000,IF('DATA INPUT'!B93=1,143.35*'DATA INPUT'!D93^3.6046/1000,IF('DATA INPUT'!B93=2,0.1656*'DATA INPUT'!D93^1.4655,FALSE)))))</f>
        <v>0</v>
      </c>
      <c r="C89" s="8" t="b">
        <f>IF('DATA INPUT'!B93="T. ser",0.3356*'DATA INPUT'!E93^0.9984,IF('DATA INPUT'!B93="S. mel",24.906*'DATA INPUT'!E93^4.7681/1000,IF('DATA INPUT'!B93="V. ref",118.45*'DATA INPUT'!E93^3.5959/1000,IF('DATA INPUT'!B93=1,55.075*'DATA INPUT'!E93^4.0991/1000,IF('DATA INPUT'!B93=2,0.3356*'DATA INPUT'!E93^0.9984,FALSE)))))</f>
        <v>0</v>
      </c>
      <c r="D89" s="18" t="b">
        <f>IF('DATA INPUT'!B93="T. ser",0.0615*('DATA INPUT'!F93*'DATA INPUT'!G93)^0.9573,IF('DATA INPUT'!B93="S. mel",46.162*('DATA INPUT'!F93*'DATA INPUT'!G93)^2.3652/1000,IF('DATA INPUT'!B93="V. ref",90.34*('DATA INPUT'!F93*'DATA INPUT'!G93)^1.9756/1000,IF('DATA INPUT'!B93=1,63.022*('DATA INPUT'!F93*'DATA INPUT'!G93)^2.1551/1000,IF('DATA INPUT'!B93=2,0.0615*('DATA INPUT'!F93*'DATA INPUT'!G93)^0.9573,FALSE)))))</f>
        <v>0</v>
      </c>
      <c r="E89" s="8" t="b">
        <f>IF('DATA INPUT'!B93="T. ser",5.0562*('DATA INPUT'!H93*'DATA INPUT'!I93)^0.9574,IF('DATA INPUT'!B93="S. mel",44047*('DATA INPUT'!H93*'DATA INPUT'!I93)^1.5456/1000,IF('DATA INPUT'!B93="V. ref",91930*('DATA INPUT'!H93*'DATA INPUT'!I93)^1.7774/1000,IF('DATA INPUT'!B93=1,62601*('DATA INPUT'!H93*'DATA INPUT'!I93)^1.6463/1000,IF('DATA INPUT'!B93=2,5.0562*('DATA INPUT'!H93*'DATA INPUT'!I93)^0.9574,FALSE)))))</f>
        <v>0</v>
      </c>
      <c r="F89" s="18" t="b">
        <f>IF('DATA INPUT'!B93="T. ser",0.0009*I89^0.4477,IF('DATA INPUT'!B93="S. mel",0.0000004*I89^1.4912/1000,IF('DATA INPUT'!B93="V. ref",0.00000005*I89^1.6284/1000,IF('DATA INPUT'!B93=1,0.0000007*I89^1.4601/1000,IF('DATA INPUT'!B93=2,0.0009*I89^0.4477,FALSE)))))</f>
        <v>0</v>
      </c>
      <c r="G89" s="57">
        <f t="shared" si="10"/>
        <v>0</v>
      </c>
      <c r="H89" s="57"/>
      <c r="I89" s="2" t="b">
        <f>IF('DATA INPUT'!B93="T. ser",3.142*'DATA INPUT'!N93^2*'DATA INPUT'!O93/3+3.142*'DATA INPUT'!P93^2/3*(3*'DATA INPUT'!N93-'DATA INPUT'!P93),IF('DATA INPUT'!B93="S. mel",3.142*'DATA INPUT'!N93^2*'DATA INPUT'!O93/3+3.142*'DATA INPUT'!P93^2/3*(3*'DATA INPUT'!N93-'DATA INPUT'!P93),IF('DATA INPUT'!B93="V. ref",3.142*'DATA INPUT'!N93^2*'DATA INPUT'!O93/3+3.142*'DATA INPUT'!P93^2/3*(3*'DATA INPUT'!N93-'DATA INPUT'!P93),IF('DATA INPUT'!B93=1,3.142*'DATA INPUT'!N93^2*'DATA INPUT'!O93/3+3.142*'DATA INPUT'!P93^2/3*(3*'DATA INPUT'!N93-'DATA INPUT'!P93),IF('DATA INPUT'!B93=2,3.142*'DATA INPUT'!N93^2*'DATA INPUT'!O93/3+3.142*'DATA INPUT'!P93^2/3*(3*'DATA INPUT'!N93-'DATA INPUT'!P93),FALSE)))))</f>
        <v>0</v>
      </c>
      <c r="J89" s="2" t="b">
        <f>IF('DATA INPUT'!B93="T. ser",0.0458*CALCULATIONS!I89^0.6841,IF('DATA INPUT'!B93="S. mel",0.6047*CALCULATIONS!I89^0.6433,IF('DATA INPUT'!B93="V. ref",0.77086*CALCULATIONS!I89^0.4936,IF('DATA INPUT'!B93=1,0.68778*CALCULATIONS!I89^0.56845,IF('DATA INPUT'!B93=2,0.0458*CALCULATIONS!I89^0.6841,FALSE)))))</f>
        <v>0</v>
      </c>
      <c r="K89" s="3">
        <f t="shared" si="8"/>
        <v>0</v>
      </c>
      <c r="L89" s="3" t="b">
        <f>IF('DATA INPUT'!B93="T. ser",('DATA INPUT'!D93+'DATA INPUT'!F93+'DATA INPUT'!H93+'DATA INPUT'!J93)/1.5,IF('DATA INPUT'!B93="V. ref",('DATA INPUT'!D93+'DATA INPUT'!F93+'DATA INPUT'!H93+'DATA INPUT'!J93)/1.5,IF('DATA INPUT'!B93="S. mel",('DATA INPUT'!D93+'DATA INPUT'!F93+'DATA INPUT'!H93+'DATA INPUT'!J93)/1.5,IF('DATA INPUT'!B93=1,('DATA INPUT'!D93+'DATA INPUT'!F93+'DATA INPUT'!H93+'DATA INPUT'!J93)/1.5,IF('DATA INPUT'!B93=2,('DATA INPUT'!D93+'DATA INPUT'!F93+'DATA INPUT'!H93+'DATA INPUT'!J93)/1.5,FALSE)))))</f>
        <v>0</v>
      </c>
      <c r="N89" s="16">
        <f>'DATA INPUT'!C93</f>
        <v>0</v>
      </c>
      <c r="O89" s="3" t="b">
        <f>IF('DATA INPUT'!B93="T. ser",0.3446*'DATA INPUT'!D93^1.0619,IF('DATA INPUT'!B93="S. mel",(1270.6*'DATA INPUT'!D93^2.0933)/1000,IF('DATA INPUT'!B93="V. ref",(816.25*'DATA INPUT'!D93^2.1754)/1000,IF('DATA INPUT'!B93=1,(1492.4*'DATA INPUT'!D93^1.7591)/1000,IF('DATA INPUT'!B93=2,0.3446*'DATA INPUT'!D93^1.0619,FALSE)))))</f>
        <v>0</v>
      </c>
      <c r="P89" s="3" t="b">
        <f>IF('DATA INPUT'!B93="T. ser",0.3662*'DATA INPUT'!E93^1.5061,IF('DATA INPUT'!B93="S. mel",(748.47*'DATA INPUT'!E93^2.2691)/1000,IF('DATA INPUT'!B93="V. ref",(953.69*'DATA INPUT'!E93^1.9524)/1000,IF('DATA INPUT'!B93=1,(695.02*'DATA INPUT'!E93^2.3452)/1000,IF('DATA INPUT'!B93=2,0.3662*'DATA INPUT'!E93^1.5061,FALSE)))))</f>
        <v>0</v>
      </c>
      <c r="Q89" s="3" t="b">
        <f>IF('DATA INPUT'!B93="T. ser",0.1225*('DATA INPUT'!F93*'DATA INPUT'!G93)^0.8272,IF('DATA INPUT'!B93="S. mel",(925.08*('DATA INPUT'!F93*'DATA INPUT'!G93)^1.1603)/1000,IF('DATA INPUT'!B93="V. ref",(776.29*('DATA INPUT'!F93*'DATA INPUT'!G93)^1.1226)/1000,IF('DATA INPUT'!B93=1,(884.6*('DATA INPUT'!F93*'DATA INPUT'!G93)^1.129)/1000,IF('DATA INPUT'!B93=2,0.1225*('DATA INPUT'!F93*'DATA INPUT'!G93)^0.8272,FALSE)))))</f>
        <v>0</v>
      </c>
      <c r="R89" s="3" t="b">
        <f>IF('DATA INPUT'!B93="T. ser",5.5287*('DATA INPUT'!H93*'DATA INPUT'!I93)^0.8272,IF('DATA INPUT'!B93="S. mel",(31469*('DATA INPUT'!H93*'DATA INPUT'!I93)^0.8608)/1000,IF('DATA INPUT'!B93="V. ref",(39394*('DATA INPUT'!H93*'DATA INPUT'!I93)^1.005)/1000,IF('DATA INPUT'!B93=1,(31791*('DATA INPUT'!H93*'DATA INPUT'!I93)^0.8467)/1000,IF('DATA INPUT'!B93=2,5.5287*('DATA INPUT'!H93*'DATA INPUT'!I93)^0.8272,FALSE)))))</f>
        <v>0</v>
      </c>
      <c r="S89" s="3" t="b">
        <f>IF('DATA INPUT'!B93="T. ser",0.0005*I89^0.5148,IF('DATA INPUT'!B93="S. mel",0.051*I89^0.7789/1000,IF('DATA INPUT'!B93="V. ref",0.0958*I89^0.7253/1000,IF('DATA INPUT'!B93=1,0.0426*I89^0.786/1000,IF('DATA INPUT'!B93=2,0.0005*I89^0.5148,FALSE)))))</f>
        <v>0</v>
      </c>
      <c r="T89" s="59">
        <f t="shared" si="9"/>
        <v>0</v>
      </c>
    </row>
    <row r="90" spans="1:20" x14ac:dyDescent="0.2">
      <c r="A90" s="218">
        <f>'DATA INPUT'!C94</f>
        <v>0</v>
      </c>
      <c r="B90" s="11" t="b">
        <f>IF('DATA INPUT'!B94="T. ser",0.1656*'DATA INPUT'!D94^1.4655,IF('DATA INPUT'!B94="S. mel",135.53*'DATA INPUT'!D94^3.8701/1000,IF('DATA INPUT'!B94="V. ref",143.01*'DATA INPUT'!D94^3.3147/1000,IF('DATA INPUT'!B94=1,143.35*'DATA INPUT'!D94^3.6046/1000,IF('DATA INPUT'!B94=2,0.1656*'DATA INPUT'!D94^1.4655,FALSE)))))</f>
        <v>0</v>
      </c>
      <c r="C90" s="8" t="b">
        <f>IF('DATA INPUT'!B94="T. ser",0.3356*'DATA INPUT'!E94^0.9984,IF('DATA INPUT'!B94="S. mel",24.906*'DATA INPUT'!E94^4.7681/1000,IF('DATA INPUT'!B94="V. ref",118.45*'DATA INPUT'!E94^3.5959/1000,IF('DATA INPUT'!B94=1,55.075*'DATA INPUT'!E94^4.0991/1000,IF('DATA INPUT'!B94=2,0.3356*'DATA INPUT'!E94^0.9984,FALSE)))))</f>
        <v>0</v>
      </c>
      <c r="D90" s="18" t="b">
        <f>IF('DATA INPUT'!B94="T. ser",0.0615*('DATA INPUT'!F94*'DATA INPUT'!G94)^0.9573,IF('DATA INPUT'!B94="S. mel",46.162*('DATA INPUT'!F94*'DATA INPUT'!G94)^2.3652/1000,IF('DATA INPUT'!B94="V. ref",90.34*('DATA INPUT'!F94*'DATA INPUT'!G94)^1.9756/1000,IF('DATA INPUT'!B94=1,63.022*('DATA INPUT'!F94*'DATA INPUT'!G94)^2.1551/1000,IF('DATA INPUT'!B94=2,0.0615*('DATA INPUT'!F94*'DATA INPUT'!G94)^0.9573,FALSE)))))</f>
        <v>0</v>
      </c>
      <c r="E90" s="8" t="b">
        <f>IF('DATA INPUT'!B94="T. ser",5.0562*('DATA INPUT'!H94*'DATA INPUT'!I94)^0.9574,IF('DATA INPUT'!B94="S. mel",44047*('DATA INPUT'!H94*'DATA INPUT'!I94)^1.5456/1000,IF('DATA INPUT'!B94="V. ref",91930*('DATA INPUT'!H94*'DATA INPUT'!I94)^1.7774/1000,IF('DATA INPUT'!B94=1,62601*('DATA INPUT'!H94*'DATA INPUT'!I94)^1.6463/1000,IF('DATA INPUT'!B94=2,5.0562*('DATA INPUT'!H94*'DATA INPUT'!I94)^0.9574,FALSE)))))</f>
        <v>0</v>
      </c>
      <c r="F90" s="18" t="b">
        <f>IF('DATA INPUT'!B94="T. ser",0.0009*I90^0.4477,IF('DATA INPUT'!B94="S. mel",0.0000004*I90^1.4912/1000,IF('DATA INPUT'!B94="V. ref",0.00000005*I90^1.6284/1000,IF('DATA INPUT'!B94=1,0.0000007*I90^1.4601/1000,IF('DATA INPUT'!B94=2,0.0009*I90^0.4477,FALSE)))))</f>
        <v>0</v>
      </c>
      <c r="G90" s="57">
        <f t="shared" si="10"/>
        <v>0</v>
      </c>
      <c r="H90" s="57"/>
      <c r="I90" s="2" t="b">
        <f>IF('DATA INPUT'!B94="T. ser",3.142*'DATA INPUT'!N94^2*'DATA INPUT'!O94/3+3.142*'DATA INPUT'!P94^2/3*(3*'DATA INPUT'!N94-'DATA INPUT'!P94),IF('DATA INPUT'!B94="S. mel",3.142*'DATA INPUT'!N94^2*'DATA INPUT'!O94/3+3.142*'DATA INPUT'!P94^2/3*(3*'DATA INPUT'!N94-'DATA INPUT'!P94),IF('DATA INPUT'!B94="V. ref",3.142*'DATA INPUT'!N94^2*'DATA INPUT'!O94/3+3.142*'DATA INPUT'!P94^2/3*(3*'DATA INPUT'!N94-'DATA INPUT'!P94),IF('DATA INPUT'!B94=1,3.142*'DATA INPUT'!N94^2*'DATA INPUT'!O94/3+3.142*'DATA INPUT'!P94^2/3*(3*'DATA INPUT'!N94-'DATA INPUT'!P94),IF('DATA INPUT'!B94=2,3.142*'DATA INPUT'!N94^2*'DATA INPUT'!O94/3+3.142*'DATA INPUT'!P94^2/3*(3*'DATA INPUT'!N94-'DATA INPUT'!P94),FALSE)))))</f>
        <v>0</v>
      </c>
      <c r="J90" s="2" t="b">
        <f>IF('DATA INPUT'!B94="T. ser",0.0458*CALCULATIONS!I90^0.6841,IF('DATA INPUT'!B94="S. mel",0.6047*CALCULATIONS!I90^0.6433,IF('DATA INPUT'!B94="V. ref",0.77086*CALCULATIONS!I90^0.4936,IF('DATA INPUT'!B94=1,0.68778*CALCULATIONS!I90^0.56845,IF('DATA INPUT'!B94=2,0.0458*CALCULATIONS!I90^0.6841,FALSE)))))</f>
        <v>0</v>
      </c>
      <c r="K90" s="3">
        <f t="shared" si="8"/>
        <v>0</v>
      </c>
      <c r="L90" s="3" t="b">
        <f>IF('DATA INPUT'!B94="T. ser",('DATA INPUT'!D94+'DATA INPUT'!F94+'DATA INPUT'!H94+'DATA INPUT'!J94)/1.5,IF('DATA INPUT'!B94="V. ref",('DATA INPUT'!D94+'DATA INPUT'!F94+'DATA INPUT'!H94+'DATA INPUT'!J94)/1.5,IF('DATA INPUT'!B94="S. mel",('DATA INPUT'!D94+'DATA INPUT'!F94+'DATA INPUT'!H94+'DATA INPUT'!J94)/1.5,IF('DATA INPUT'!B94=1,('DATA INPUT'!D94+'DATA INPUT'!F94+'DATA INPUT'!H94+'DATA INPUT'!J94)/1.5,IF('DATA INPUT'!B94=2,('DATA INPUT'!D94+'DATA INPUT'!F94+'DATA INPUT'!H94+'DATA INPUT'!J94)/1.5,FALSE)))))</f>
        <v>0</v>
      </c>
      <c r="N90" s="16">
        <f>'DATA INPUT'!C94</f>
        <v>0</v>
      </c>
      <c r="O90" s="3" t="b">
        <f>IF('DATA INPUT'!B94="T. ser",0.3446*'DATA INPUT'!D94^1.0619,IF('DATA INPUT'!B94="S. mel",(1270.6*'DATA INPUT'!D94^2.0933)/1000,IF('DATA INPUT'!B94="V. ref",(816.25*'DATA INPUT'!D94^2.1754)/1000,IF('DATA INPUT'!B94=1,(1492.4*'DATA INPUT'!D94^1.7591)/1000,IF('DATA INPUT'!B94=2,0.3446*'DATA INPUT'!D94^1.0619,FALSE)))))</f>
        <v>0</v>
      </c>
      <c r="P90" s="3" t="b">
        <f>IF('DATA INPUT'!B94="T. ser",0.3662*'DATA INPUT'!E94^1.5061,IF('DATA INPUT'!B94="S. mel",(748.47*'DATA INPUT'!E94^2.2691)/1000,IF('DATA INPUT'!B94="V. ref",(953.69*'DATA INPUT'!E94^1.9524)/1000,IF('DATA INPUT'!B94=1,(695.02*'DATA INPUT'!E94^2.3452)/1000,IF('DATA INPUT'!B94=2,0.3662*'DATA INPUT'!E94^1.5061,FALSE)))))</f>
        <v>0</v>
      </c>
      <c r="Q90" s="3" t="b">
        <f>IF('DATA INPUT'!B94="T. ser",0.1225*('DATA INPUT'!F94*'DATA INPUT'!G94)^0.8272,IF('DATA INPUT'!B94="S. mel",(925.08*('DATA INPUT'!F94*'DATA INPUT'!G94)^1.1603)/1000,IF('DATA INPUT'!B94="V. ref",(776.29*('DATA INPUT'!F94*'DATA INPUT'!G94)^1.1226)/1000,IF('DATA INPUT'!B94=1,(884.6*('DATA INPUT'!F94*'DATA INPUT'!G94)^1.129)/1000,IF('DATA INPUT'!B94=2,0.1225*('DATA INPUT'!F94*'DATA INPUT'!G94)^0.8272,FALSE)))))</f>
        <v>0</v>
      </c>
      <c r="R90" s="3" t="b">
        <f>IF('DATA INPUT'!B94="T. ser",5.5287*('DATA INPUT'!H94*'DATA INPUT'!I94)^0.8272,IF('DATA INPUT'!B94="S. mel",(31469*('DATA INPUT'!H94*'DATA INPUT'!I94)^0.8608)/1000,IF('DATA INPUT'!B94="V. ref",(39394*('DATA INPUT'!H94*'DATA INPUT'!I94)^1.005)/1000,IF('DATA INPUT'!B94=1,(31791*('DATA INPUT'!H94*'DATA INPUT'!I94)^0.8467)/1000,IF('DATA INPUT'!B94=2,5.5287*('DATA INPUT'!H94*'DATA INPUT'!I94)^0.8272,FALSE)))))</f>
        <v>0</v>
      </c>
      <c r="S90" s="3" t="b">
        <f>IF('DATA INPUT'!B94="T. ser",0.0005*I90^0.5148,IF('DATA INPUT'!B94="S. mel",0.051*I90^0.7789/1000,IF('DATA INPUT'!B94="V. ref",0.0958*I90^0.7253/1000,IF('DATA INPUT'!B94=1,0.0426*I90^0.786/1000,IF('DATA INPUT'!B94=2,0.0005*I90^0.5148,FALSE)))))</f>
        <v>0</v>
      </c>
      <c r="T90" s="59">
        <f t="shared" si="9"/>
        <v>0</v>
      </c>
    </row>
    <row r="91" spans="1:20" x14ac:dyDescent="0.2">
      <c r="A91" s="218">
        <f>'DATA INPUT'!C95</f>
        <v>0</v>
      </c>
      <c r="B91" s="11" t="b">
        <f>IF('DATA INPUT'!B95="T. ser",0.1656*'DATA INPUT'!D95^1.4655,IF('DATA INPUT'!B95="S. mel",135.53*'DATA INPUT'!D95^3.8701/1000,IF('DATA INPUT'!B95="V. ref",143.01*'DATA INPUT'!D95^3.3147/1000,IF('DATA INPUT'!B95=1,143.35*'DATA INPUT'!D95^3.6046/1000,IF('DATA INPUT'!B95=2,0.1656*'DATA INPUT'!D95^1.4655,FALSE)))))</f>
        <v>0</v>
      </c>
      <c r="C91" s="8" t="b">
        <f>IF('DATA INPUT'!B95="T. ser",0.3356*'DATA INPUT'!E95^0.9984,IF('DATA INPUT'!B95="S. mel",24.906*'DATA INPUT'!E95^4.7681/1000,IF('DATA INPUT'!B95="V. ref",118.45*'DATA INPUT'!E95^3.5959/1000,IF('DATA INPUT'!B95=1,55.075*'DATA INPUT'!E95^4.0991/1000,IF('DATA INPUT'!B95=2,0.3356*'DATA INPUT'!E95^0.9984,FALSE)))))</f>
        <v>0</v>
      </c>
      <c r="D91" s="18" t="b">
        <f>IF('DATA INPUT'!B95="T. ser",0.0615*('DATA INPUT'!F95*'DATA INPUT'!G95)^0.9573,IF('DATA INPUT'!B95="S. mel",46.162*('DATA INPUT'!F95*'DATA INPUT'!G95)^2.3652/1000,IF('DATA INPUT'!B95="V. ref",90.34*('DATA INPUT'!F95*'DATA INPUT'!G95)^1.9756/1000,IF('DATA INPUT'!B95=1,63.022*('DATA INPUT'!F95*'DATA INPUT'!G95)^2.1551/1000,IF('DATA INPUT'!B95=2,0.0615*('DATA INPUT'!F95*'DATA INPUT'!G95)^0.9573,FALSE)))))</f>
        <v>0</v>
      </c>
      <c r="E91" s="8" t="b">
        <f>IF('DATA INPUT'!B95="T. ser",5.0562*('DATA INPUT'!H95*'DATA INPUT'!I95)^0.9574,IF('DATA INPUT'!B95="S. mel",44047*('DATA INPUT'!H95*'DATA INPUT'!I95)^1.5456/1000,IF('DATA INPUT'!B95="V. ref",91930*('DATA INPUT'!H95*'DATA INPUT'!I95)^1.7774/1000,IF('DATA INPUT'!B95=1,62601*('DATA INPUT'!H95*'DATA INPUT'!I95)^1.6463/1000,IF('DATA INPUT'!B95=2,5.0562*('DATA INPUT'!H95*'DATA INPUT'!I95)^0.9574,FALSE)))))</f>
        <v>0</v>
      </c>
      <c r="F91" s="18" t="b">
        <f>IF('DATA INPUT'!B95="T. ser",0.0009*I91^0.4477,IF('DATA INPUT'!B95="S. mel",0.0000004*I91^1.4912/1000,IF('DATA INPUT'!B95="V. ref",0.00000005*I91^1.6284/1000,IF('DATA INPUT'!B95=1,0.0000007*I91^1.4601/1000,IF('DATA INPUT'!B95=2,0.0009*I91^0.4477,FALSE)))))</f>
        <v>0</v>
      </c>
      <c r="G91" s="57">
        <f t="shared" si="10"/>
        <v>0</v>
      </c>
      <c r="H91" s="57"/>
      <c r="I91" s="2" t="b">
        <f>IF('DATA INPUT'!B95="T. ser",3.142*'DATA INPUT'!N95^2*'DATA INPUT'!O95/3+3.142*'DATA INPUT'!P95^2/3*(3*'DATA INPUT'!N95-'DATA INPUT'!P95),IF('DATA INPUT'!B95="S. mel",3.142*'DATA INPUT'!N95^2*'DATA INPUT'!O95/3+3.142*'DATA INPUT'!P95^2/3*(3*'DATA INPUT'!N95-'DATA INPUT'!P95),IF('DATA INPUT'!B95="V. ref",3.142*'DATA INPUT'!N95^2*'DATA INPUT'!O95/3+3.142*'DATA INPUT'!P95^2/3*(3*'DATA INPUT'!N95-'DATA INPUT'!P95),IF('DATA INPUT'!B95=1,3.142*'DATA INPUT'!N95^2*'DATA INPUT'!O95/3+3.142*'DATA INPUT'!P95^2/3*(3*'DATA INPUT'!N95-'DATA INPUT'!P95),IF('DATA INPUT'!B95=2,3.142*'DATA INPUT'!N95^2*'DATA INPUT'!O95/3+3.142*'DATA INPUT'!P95^2/3*(3*'DATA INPUT'!N95-'DATA INPUT'!P95),FALSE)))))</f>
        <v>0</v>
      </c>
      <c r="J91" s="2" t="b">
        <f>IF('DATA INPUT'!B95="T. ser",0.0458*CALCULATIONS!I91^0.6841,IF('DATA INPUT'!B95="S. mel",0.6047*CALCULATIONS!I91^0.6433,IF('DATA INPUT'!B95="V. ref",0.77086*CALCULATIONS!I91^0.4936,IF('DATA INPUT'!B95=1,0.68778*CALCULATIONS!I91^0.56845,IF('DATA INPUT'!B95=2,0.0458*CALCULATIONS!I91^0.6841,FALSE)))))</f>
        <v>0</v>
      </c>
      <c r="K91" s="3">
        <f t="shared" si="8"/>
        <v>0</v>
      </c>
      <c r="L91" s="3" t="b">
        <f>IF('DATA INPUT'!B95="T. ser",('DATA INPUT'!D95+'DATA INPUT'!F95+'DATA INPUT'!H95+'DATA INPUT'!J95)/1.5,IF('DATA INPUT'!B95="V. ref",('DATA INPUT'!D95+'DATA INPUT'!F95+'DATA INPUT'!H95+'DATA INPUT'!J95)/1.5,IF('DATA INPUT'!B95="S. mel",('DATA INPUT'!D95+'DATA INPUT'!F95+'DATA INPUT'!H95+'DATA INPUT'!J95)/1.5,IF('DATA INPUT'!B95=1,('DATA INPUT'!D95+'DATA INPUT'!F95+'DATA INPUT'!H95+'DATA INPUT'!J95)/1.5,IF('DATA INPUT'!B95=2,('DATA INPUT'!D95+'DATA INPUT'!F95+'DATA INPUT'!H95+'DATA INPUT'!J95)/1.5,FALSE)))))</f>
        <v>0</v>
      </c>
      <c r="N91" s="16">
        <f>'DATA INPUT'!C95</f>
        <v>0</v>
      </c>
      <c r="O91" s="3" t="b">
        <f>IF('DATA INPUT'!B95="T. ser",0.3446*'DATA INPUT'!D95^1.0619,IF('DATA INPUT'!B95="S. mel",(1270.6*'DATA INPUT'!D95^2.0933)/1000,IF('DATA INPUT'!B95="V. ref",(816.25*'DATA INPUT'!D95^2.1754)/1000,IF('DATA INPUT'!B95=1,(1492.4*'DATA INPUT'!D95^1.7591)/1000,IF('DATA INPUT'!B95=2,0.3446*'DATA INPUT'!D95^1.0619,FALSE)))))</f>
        <v>0</v>
      </c>
      <c r="P91" s="3" t="b">
        <f>IF('DATA INPUT'!B95="T. ser",0.3662*'DATA INPUT'!E95^1.5061,IF('DATA INPUT'!B95="S. mel",(748.47*'DATA INPUT'!E95^2.2691)/1000,IF('DATA INPUT'!B95="V. ref",(953.69*'DATA INPUT'!E95^1.9524)/1000,IF('DATA INPUT'!B95=1,(695.02*'DATA INPUT'!E95^2.3452)/1000,IF('DATA INPUT'!B95=2,0.3662*'DATA INPUT'!E95^1.5061,FALSE)))))</f>
        <v>0</v>
      </c>
      <c r="Q91" s="3" t="b">
        <f>IF('DATA INPUT'!B95="T. ser",0.1225*('DATA INPUT'!F95*'DATA INPUT'!G95)^0.8272,IF('DATA INPUT'!B95="S. mel",(925.08*('DATA INPUT'!F95*'DATA INPUT'!G95)^1.1603)/1000,IF('DATA INPUT'!B95="V. ref",(776.29*('DATA INPUT'!F95*'DATA INPUT'!G95)^1.1226)/1000,IF('DATA INPUT'!B95=1,(884.6*('DATA INPUT'!F95*'DATA INPUT'!G95)^1.129)/1000,IF('DATA INPUT'!B95=2,0.1225*('DATA INPUT'!F95*'DATA INPUT'!G95)^0.8272,FALSE)))))</f>
        <v>0</v>
      </c>
      <c r="R91" s="3" t="b">
        <f>IF('DATA INPUT'!B95="T. ser",5.5287*('DATA INPUT'!H95*'DATA INPUT'!I95)^0.8272,IF('DATA INPUT'!B95="S. mel",(31469*('DATA INPUT'!H95*'DATA INPUT'!I95)^0.8608)/1000,IF('DATA INPUT'!B95="V. ref",(39394*('DATA INPUT'!H95*'DATA INPUT'!I95)^1.005)/1000,IF('DATA INPUT'!B95=1,(31791*('DATA INPUT'!H95*'DATA INPUT'!I95)^0.8467)/1000,IF('DATA INPUT'!B95=2,5.5287*('DATA INPUT'!H95*'DATA INPUT'!I95)^0.8272,FALSE)))))</f>
        <v>0</v>
      </c>
      <c r="S91" s="3" t="b">
        <f>IF('DATA INPUT'!B95="T. ser",0.0005*I91^0.5148,IF('DATA INPUT'!B95="S. mel",0.051*I91^0.7789/1000,IF('DATA INPUT'!B95="V. ref",0.0958*I91^0.7253/1000,IF('DATA INPUT'!B95=1,0.0426*I91^0.786/1000,IF('DATA INPUT'!B95=2,0.0005*I91^0.5148,FALSE)))))</f>
        <v>0</v>
      </c>
      <c r="T91" s="59">
        <f t="shared" si="9"/>
        <v>0</v>
      </c>
    </row>
    <row r="92" spans="1:20" x14ac:dyDescent="0.2">
      <c r="A92" s="218">
        <f>'DATA INPUT'!C96</f>
        <v>0</v>
      </c>
      <c r="B92" s="11" t="b">
        <f>IF('DATA INPUT'!B96="T. ser",0.1656*'DATA INPUT'!D96^1.4655,IF('DATA INPUT'!B96="S. mel",135.53*'DATA INPUT'!D96^3.8701/1000,IF('DATA INPUT'!B96="V. ref",143.01*'DATA INPUT'!D96^3.3147/1000,IF('DATA INPUT'!B96=1,143.35*'DATA INPUT'!D96^3.6046/1000,IF('DATA INPUT'!B96=2,0.1656*'DATA INPUT'!D96^1.4655,FALSE)))))</f>
        <v>0</v>
      </c>
      <c r="C92" s="8" t="b">
        <f>IF('DATA INPUT'!B96="T. ser",0.3356*'DATA INPUT'!E96^0.9984,IF('DATA INPUT'!B96="S. mel",24.906*'DATA INPUT'!E96^4.7681/1000,IF('DATA INPUT'!B96="V. ref",118.45*'DATA INPUT'!E96^3.5959/1000,IF('DATA INPUT'!B96=1,55.075*'DATA INPUT'!E96^4.0991/1000,IF('DATA INPUT'!B96=2,0.3356*'DATA INPUT'!E96^0.9984,FALSE)))))</f>
        <v>0</v>
      </c>
      <c r="D92" s="18" t="b">
        <f>IF('DATA INPUT'!B96="T. ser",0.0615*('DATA INPUT'!F96*'DATA INPUT'!G96)^0.9573,IF('DATA INPUT'!B96="S. mel",46.162*('DATA INPUT'!F96*'DATA INPUT'!G96)^2.3652/1000,IF('DATA INPUT'!B96="V. ref",90.34*('DATA INPUT'!F96*'DATA INPUT'!G96)^1.9756/1000,IF('DATA INPUT'!B96=1,63.022*('DATA INPUT'!F96*'DATA INPUT'!G96)^2.1551/1000,IF('DATA INPUT'!B96=2,0.0615*('DATA INPUT'!F96*'DATA INPUT'!G96)^0.9573,FALSE)))))</f>
        <v>0</v>
      </c>
      <c r="E92" s="8" t="b">
        <f>IF('DATA INPUT'!B96="T. ser",5.0562*('DATA INPUT'!H96*'DATA INPUT'!I96)^0.9574,IF('DATA INPUT'!B96="S. mel",44047*('DATA INPUT'!H96*'DATA INPUT'!I96)^1.5456/1000,IF('DATA INPUT'!B96="V. ref",91930*('DATA INPUT'!H96*'DATA INPUT'!I96)^1.7774/1000,IF('DATA INPUT'!B96=1,62601*('DATA INPUT'!H96*'DATA INPUT'!I96)^1.6463/1000,IF('DATA INPUT'!B96=2,5.0562*('DATA INPUT'!H96*'DATA INPUT'!I96)^0.9574,FALSE)))))</f>
        <v>0</v>
      </c>
      <c r="F92" s="18" t="b">
        <f>IF('DATA INPUT'!B96="T. ser",0.0009*I92^0.4477,IF('DATA INPUT'!B96="S. mel",0.0000004*I92^1.4912/1000,IF('DATA INPUT'!B96="V. ref",0.00000005*I92^1.6284/1000,IF('DATA INPUT'!B96=1,0.0000007*I92^1.4601/1000,IF('DATA INPUT'!B96=2,0.0009*I92^0.4477,FALSE)))))</f>
        <v>0</v>
      </c>
      <c r="G92" s="57">
        <f t="shared" si="10"/>
        <v>0</v>
      </c>
      <c r="H92" s="57"/>
      <c r="I92" s="2" t="b">
        <f>IF('DATA INPUT'!B96="T. ser",3.142*'DATA INPUT'!N96^2*'DATA INPUT'!O96/3+3.142*'DATA INPUT'!P96^2/3*(3*'DATA INPUT'!N96-'DATA INPUT'!P96),IF('DATA INPUT'!B96="S. mel",3.142*'DATA INPUT'!N96^2*'DATA INPUT'!O96/3+3.142*'DATA INPUT'!P96^2/3*(3*'DATA INPUT'!N96-'DATA INPUT'!P96),IF('DATA INPUT'!B96="V. ref",3.142*'DATA INPUT'!N96^2*'DATA INPUT'!O96/3+3.142*'DATA INPUT'!P96^2/3*(3*'DATA INPUT'!N96-'DATA INPUT'!P96),IF('DATA INPUT'!B96=1,3.142*'DATA INPUT'!N96^2*'DATA INPUT'!O96/3+3.142*'DATA INPUT'!P96^2/3*(3*'DATA INPUT'!N96-'DATA INPUT'!P96),IF('DATA INPUT'!B96=2,3.142*'DATA INPUT'!N96^2*'DATA INPUT'!O96/3+3.142*'DATA INPUT'!P96^2/3*(3*'DATA INPUT'!N96-'DATA INPUT'!P96),FALSE)))))</f>
        <v>0</v>
      </c>
      <c r="J92" s="2" t="b">
        <f>IF('DATA INPUT'!B96="T. ser",0.0458*CALCULATIONS!I92^0.6841,IF('DATA INPUT'!B96="S. mel",0.6047*CALCULATIONS!I92^0.6433,IF('DATA INPUT'!B96="V. ref",0.77086*CALCULATIONS!I92^0.4936,IF('DATA INPUT'!B96=1,0.68778*CALCULATIONS!I92^0.56845,IF('DATA INPUT'!B96=2,0.0458*CALCULATIONS!I92^0.6841,FALSE)))))</f>
        <v>0</v>
      </c>
      <c r="K92" s="3">
        <f t="shared" si="8"/>
        <v>0</v>
      </c>
      <c r="L92" s="3" t="b">
        <f>IF('DATA INPUT'!B96="T. ser",('DATA INPUT'!D96+'DATA INPUT'!F96+'DATA INPUT'!H96+'DATA INPUT'!J96)/1.5,IF('DATA INPUT'!B96="V. ref",('DATA INPUT'!D96+'DATA INPUT'!F96+'DATA INPUT'!H96+'DATA INPUT'!J96)/1.5,IF('DATA INPUT'!B96="S. mel",('DATA INPUT'!D96+'DATA INPUT'!F96+'DATA INPUT'!H96+'DATA INPUT'!J96)/1.5,IF('DATA INPUT'!B96=1,('DATA INPUT'!D96+'DATA INPUT'!F96+'DATA INPUT'!H96+'DATA INPUT'!J96)/1.5,IF('DATA INPUT'!B96=2,('DATA INPUT'!D96+'DATA INPUT'!F96+'DATA INPUT'!H96+'DATA INPUT'!J96)/1.5,FALSE)))))</f>
        <v>0</v>
      </c>
      <c r="N92" s="16">
        <f>'DATA INPUT'!C96</f>
        <v>0</v>
      </c>
      <c r="O92" s="3" t="b">
        <f>IF('DATA INPUT'!B96="T. ser",0.3446*'DATA INPUT'!D96^1.0619,IF('DATA INPUT'!B96="S. mel",(1270.6*'DATA INPUT'!D96^2.0933)/1000,IF('DATA INPUT'!B96="V. ref",(816.25*'DATA INPUT'!D96^2.1754)/1000,IF('DATA INPUT'!B96=1,(1492.4*'DATA INPUT'!D96^1.7591)/1000,IF('DATA INPUT'!B96=2,0.3446*'DATA INPUT'!D96^1.0619,FALSE)))))</f>
        <v>0</v>
      </c>
      <c r="P92" s="3" t="b">
        <f>IF('DATA INPUT'!B96="T. ser",0.3662*'DATA INPUT'!E96^1.5061,IF('DATA INPUT'!B96="S. mel",(748.47*'DATA INPUT'!E96^2.2691)/1000,IF('DATA INPUT'!B96="V. ref",(953.69*'DATA INPUT'!E96^1.9524)/1000,IF('DATA INPUT'!B96=1,(695.02*'DATA INPUT'!E96^2.3452)/1000,IF('DATA INPUT'!B96=2,0.3662*'DATA INPUT'!E96^1.5061,FALSE)))))</f>
        <v>0</v>
      </c>
      <c r="Q92" s="3" t="b">
        <f>IF('DATA INPUT'!B96="T. ser",0.1225*('DATA INPUT'!F96*'DATA INPUT'!G96)^0.8272,IF('DATA INPUT'!B96="S. mel",(925.08*('DATA INPUT'!F96*'DATA INPUT'!G96)^1.1603)/1000,IF('DATA INPUT'!B96="V. ref",(776.29*('DATA INPUT'!F96*'DATA INPUT'!G96)^1.1226)/1000,IF('DATA INPUT'!B96=1,(884.6*('DATA INPUT'!F96*'DATA INPUT'!G96)^1.129)/1000,IF('DATA INPUT'!B96=2,0.1225*('DATA INPUT'!F96*'DATA INPUT'!G96)^0.8272,FALSE)))))</f>
        <v>0</v>
      </c>
      <c r="R92" s="3" t="b">
        <f>IF('DATA INPUT'!B96="T. ser",5.5287*('DATA INPUT'!H96*'DATA INPUT'!I96)^0.8272,IF('DATA INPUT'!B96="S. mel",(31469*('DATA INPUT'!H96*'DATA INPUT'!I96)^0.8608)/1000,IF('DATA INPUT'!B96="V. ref",(39394*('DATA INPUT'!H96*'DATA INPUT'!I96)^1.005)/1000,IF('DATA INPUT'!B96=1,(31791*('DATA INPUT'!H96*'DATA INPUT'!I96)^0.8467)/1000,IF('DATA INPUT'!B96=2,5.5287*('DATA INPUT'!H96*'DATA INPUT'!I96)^0.8272,FALSE)))))</f>
        <v>0</v>
      </c>
      <c r="S92" s="3" t="b">
        <f>IF('DATA INPUT'!B96="T. ser",0.0005*I92^0.5148,IF('DATA INPUT'!B96="S. mel",0.051*I92^0.7789/1000,IF('DATA INPUT'!B96="V. ref",0.0958*I92^0.7253/1000,IF('DATA INPUT'!B96=1,0.0426*I92^0.786/1000,IF('DATA INPUT'!B96=2,0.0005*I92^0.5148,FALSE)))))</f>
        <v>0</v>
      </c>
      <c r="T92" s="59">
        <f t="shared" si="9"/>
        <v>0</v>
      </c>
    </row>
    <row r="93" spans="1:20" x14ac:dyDescent="0.2">
      <c r="A93" s="218">
        <f>'DATA INPUT'!C97</f>
        <v>0</v>
      </c>
      <c r="B93" s="11" t="b">
        <f>IF('DATA INPUT'!B97="T. ser",0.1656*'DATA INPUT'!D97^1.4655,IF('DATA INPUT'!B97="S. mel",135.53*'DATA INPUT'!D97^3.8701/1000,IF('DATA INPUT'!B97="V. ref",143.01*'DATA INPUT'!D97^3.3147/1000,IF('DATA INPUT'!B97=1,143.35*'DATA INPUT'!D97^3.6046/1000,IF('DATA INPUT'!B97=2,0.1656*'DATA INPUT'!D97^1.4655,FALSE)))))</f>
        <v>0</v>
      </c>
      <c r="C93" s="8" t="b">
        <f>IF('DATA INPUT'!B97="T. ser",0.3356*'DATA INPUT'!E97^0.9984,IF('DATA INPUT'!B97="S. mel",24.906*'DATA INPUT'!E97^4.7681/1000,IF('DATA INPUT'!B97="V. ref",118.45*'DATA INPUT'!E97^3.5959/1000,IF('DATA INPUT'!B97=1,55.075*'DATA INPUT'!E97^4.0991/1000,IF('DATA INPUT'!B97=2,0.3356*'DATA INPUT'!E97^0.9984,FALSE)))))</f>
        <v>0</v>
      </c>
      <c r="D93" s="18" t="b">
        <f>IF('DATA INPUT'!B97="T. ser",0.0615*('DATA INPUT'!F97*'DATA INPUT'!G97)^0.9573,IF('DATA INPUT'!B97="S. mel",46.162*('DATA INPUT'!F97*'DATA INPUT'!G97)^2.3652/1000,IF('DATA INPUT'!B97="V. ref",90.34*('DATA INPUT'!F97*'DATA INPUT'!G97)^1.9756/1000,IF('DATA INPUT'!B97=1,63.022*('DATA INPUT'!F97*'DATA INPUT'!G97)^2.1551/1000,IF('DATA INPUT'!B97=2,0.0615*('DATA INPUT'!F97*'DATA INPUT'!G97)^0.9573,FALSE)))))</f>
        <v>0</v>
      </c>
      <c r="E93" s="8" t="b">
        <f>IF('DATA INPUT'!B97="T. ser",5.0562*('DATA INPUT'!H97*'DATA INPUT'!I97)^0.9574,IF('DATA INPUT'!B97="S. mel",44047*('DATA INPUT'!H97*'DATA INPUT'!I97)^1.5456/1000,IF('DATA INPUT'!B97="V. ref",91930*('DATA INPUT'!H97*'DATA INPUT'!I97)^1.7774/1000,IF('DATA INPUT'!B97=1,62601*('DATA INPUT'!H97*'DATA INPUT'!I97)^1.6463/1000,IF('DATA INPUT'!B97=2,5.0562*('DATA INPUT'!H97*'DATA INPUT'!I97)^0.9574,FALSE)))))</f>
        <v>0</v>
      </c>
      <c r="F93" s="18" t="b">
        <f>IF('DATA INPUT'!B97="T. ser",0.0009*I93^0.4477,IF('DATA INPUT'!B97="S. mel",0.0000004*I93^1.4912/1000,IF('DATA INPUT'!B97="V. ref",0.00000005*I93^1.6284/1000,IF('DATA INPUT'!B97=1,0.0000007*I93^1.4601/1000,IF('DATA INPUT'!B97=2,0.0009*I93^0.4477,FALSE)))))</f>
        <v>0</v>
      </c>
      <c r="G93" s="57">
        <f t="shared" si="10"/>
        <v>0</v>
      </c>
      <c r="H93" s="57"/>
      <c r="I93" s="2" t="b">
        <f>IF('DATA INPUT'!B97="T. ser",3.142*'DATA INPUT'!N97^2*'DATA INPUT'!O97/3+3.142*'DATA INPUT'!P97^2/3*(3*'DATA INPUT'!N97-'DATA INPUT'!P97),IF('DATA INPUT'!B97="S. mel",3.142*'DATA INPUT'!N97^2*'DATA INPUT'!O97/3+3.142*'DATA INPUT'!P97^2/3*(3*'DATA INPUT'!N97-'DATA INPUT'!P97),IF('DATA INPUT'!B97="V. ref",3.142*'DATA INPUT'!N97^2*'DATA INPUT'!O97/3+3.142*'DATA INPUT'!P97^2/3*(3*'DATA INPUT'!N97-'DATA INPUT'!P97),IF('DATA INPUT'!B97=1,3.142*'DATA INPUT'!N97^2*'DATA INPUT'!O97/3+3.142*'DATA INPUT'!P97^2/3*(3*'DATA INPUT'!N97-'DATA INPUT'!P97),IF('DATA INPUT'!B97=2,3.142*'DATA INPUT'!N97^2*'DATA INPUT'!O97/3+3.142*'DATA INPUT'!P97^2/3*(3*'DATA INPUT'!N97-'DATA INPUT'!P97),FALSE)))))</f>
        <v>0</v>
      </c>
      <c r="J93" s="2" t="b">
        <f>IF('DATA INPUT'!B97="T. ser",0.0458*CALCULATIONS!I93^0.6841,IF('DATA INPUT'!B97="S. mel",0.6047*CALCULATIONS!I93^0.6433,IF('DATA INPUT'!B97="V. ref",0.77086*CALCULATIONS!I93^0.4936,IF('DATA INPUT'!B97=1,0.68778*CALCULATIONS!I93^0.56845,IF('DATA INPUT'!B97=2,0.0458*CALCULATIONS!I93^0.6841,FALSE)))))</f>
        <v>0</v>
      </c>
      <c r="K93" s="3">
        <f t="shared" si="8"/>
        <v>0</v>
      </c>
      <c r="L93" s="3" t="b">
        <f>IF('DATA INPUT'!B97="T. ser",('DATA INPUT'!D97+'DATA INPUT'!F97+'DATA INPUT'!H97+'DATA INPUT'!J97)/1.5,IF('DATA INPUT'!B97="V. ref",('DATA INPUT'!D97+'DATA INPUT'!F97+'DATA INPUT'!H97+'DATA INPUT'!J97)/1.5,IF('DATA INPUT'!B97="S. mel",('DATA INPUT'!D97+'DATA INPUT'!F97+'DATA INPUT'!H97+'DATA INPUT'!J97)/1.5,IF('DATA INPUT'!B97=1,('DATA INPUT'!D97+'DATA INPUT'!F97+'DATA INPUT'!H97+'DATA INPUT'!J97)/1.5,IF('DATA INPUT'!B97=2,('DATA INPUT'!D97+'DATA INPUT'!F97+'DATA INPUT'!H97+'DATA INPUT'!J97)/1.5,FALSE)))))</f>
        <v>0</v>
      </c>
      <c r="N93" s="16">
        <f>'DATA INPUT'!C97</f>
        <v>0</v>
      </c>
      <c r="O93" s="3" t="b">
        <f>IF('DATA INPUT'!B97="T. ser",0.3446*'DATA INPUT'!D97^1.0619,IF('DATA INPUT'!B97="S. mel",(1270.6*'DATA INPUT'!D97^2.0933)/1000,IF('DATA INPUT'!B97="V. ref",(816.25*'DATA INPUT'!D97^2.1754)/1000,IF('DATA INPUT'!B97=1,(1492.4*'DATA INPUT'!D97^1.7591)/1000,IF('DATA INPUT'!B97=2,0.3446*'DATA INPUT'!D97^1.0619,FALSE)))))</f>
        <v>0</v>
      </c>
      <c r="P93" s="3" t="b">
        <f>IF('DATA INPUT'!B97="T. ser",0.3662*'DATA INPUT'!E97^1.5061,IF('DATA INPUT'!B97="S. mel",(748.47*'DATA INPUT'!E97^2.2691)/1000,IF('DATA INPUT'!B97="V. ref",(953.69*'DATA INPUT'!E97^1.9524)/1000,IF('DATA INPUT'!B97=1,(695.02*'DATA INPUT'!E97^2.3452)/1000,IF('DATA INPUT'!B97=2,0.3662*'DATA INPUT'!E97^1.5061,FALSE)))))</f>
        <v>0</v>
      </c>
      <c r="Q93" s="3" t="b">
        <f>IF('DATA INPUT'!B97="T. ser",0.1225*('DATA INPUT'!F97*'DATA INPUT'!G97)^0.8272,IF('DATA INPUT'!B97="S. mel",(925.08*('DATA INPUT'!F97*'DATA INPUT'!G97)^1.1603)/1000,IF('DATA INPUT'!B97="V. ref",(776.29*('DATA INPUT'!F97*'DATA INPUT'!G97)^1.1226)/1000,IF('DATA INPUT'!B97=1,(884.6*('DATA INPUT'!F97*'DATA INPUT'!G97)^1.129)/1000,IF('DATA INPUT'!B97=2,0.1225*('DATA INPUT'!F97*'DATA INPUT'!G97)^0.8272,FALSE)))))</f>
        <v>0</v>
      </c>
      <c r="R93" s="3" t="b">
        <f>IF('DATA INPUT'!B97="T. ser",5.5287*('DATA INPUT'!H97*'DATA INPUT'!I97)^0.8272,IF('DATA INPUT'!B97="S. mel",(31469*('DATA INPUT'!H97*'DATA INPUT'!I97)^0.8608)/1000,IF('DATA INPUT'!B97="V. ref",(39394*('DATA INPUT'!H97*'DATA INPUT'!I97)^1.005)/1000,IF('DATA INPUT'!B97=1,(31791*('DATA INPUT'!H97*'DATA INPUT'!I97)^0.8467)/1000,IF('DATA INPUT'!B97=2,5.5287*('DATA INPUT'!H97*'DATA INPUT'!I97)^0.8272,FALSE)))))</f>
        <v>0</v>
      </c>
      <c r="S93" s="3" t="b">
        <f>IF('DATA INPUT'!B97="T. ser",0.0005*I93^0.5148,IF('DATA INPUT'!B97="S. mel",0.051*I93^0.7789/1000,IF('DATA INPUT'!B97="V. ref",0.0958*I93^0.7253/1000,IF('DATA INPUT'!B97=1,0.0426*I93^0.786/1000,IF('DATA INPUT'!B97=2,0.0005*I93^0.5148,FALSE)))))</f>
        <v>0</v>
      </c>
      <c r="T93" s="59">
        <f t="shared" si="9"/>
        <v>0</v>
      </c>
    </row>
    <row r="94" spans="1:20" x14ac:dyDescent="0.2">
      <c r="A94" s="218">
        <f>'DATA INPUT'!C98</f>
        <v>0</v>
      </c>
      <c r="B94" s="11" t="b">
        <f>IF('DATA INPUT'!B98="T. ser",0.1656*'DATA INPUT'!D98^1.4655,IF('DATA INPUT'!B98="S. mel",135.53*'DATA INPUT'!D98^3.8701/1000,IF('DATA INPUT'!B98="V. ref",143.01*'DATA INPUT'!D98^3.3147/1000,IF('DATA INPUT'!B98=1,143.35*'DATA INPUT'!D98^3.6046/1000,IF('DATA INPUT'!B98=2,0.1656*'DATA INPUT'!D98^1.4655,FALSE)))))</f>
        <v>0</v>
      </c>
      <c r="C94" s="8" t="b">
        <f>IF('DATA INPUT'!B98="T. ser",0.3356*'DATA INPUT'!E98^0.9984,IF('DATA INPUT'!B98="S. mel",24.906*'DATA INPUT'!E98^4.7681/1000,IF('DATA INPUT'!B98="V. ref",118.45*'DATA INPUT'!E98^3.5959/1000,IF('DATA INPUT'!B98=1,55.075*'DATA INPUT'!E98^4.0991/1000,IF('DATA INPUT'!B98=2,0.3356*'DATA INPUT'!E98^0.9984,FALSE)))))</f>
        <v>0</v>
      </c>
      <c r="D94" s="18" t="b">
        <f>IF('DATA INPUT'!B98="T. ser",0.0615*('DATA INPUT'!F98*'DATA INPUT'!G98)^0.9573,IF('DATA INPUT'!B98="S. mel",46.162*('DATA INPUT'!F98*'DATA INPUT'!G98)^2.3652/1000,IF('DATA INPUT'!B98="V. ref",90.34*('DATA INPUT'!F98*'DATA INPUT'!G98)^1.9756/1000,IF('DATA INPUT'!B98=1,63.022*('DATA INPUT'!F98*'DATA INPUT'!G98)^2.1551/1000,IF('DATA INPUT'!B98=2,0.0615*('DATA INPUT'!F98*'DATA INPUT'!G98)^0.9573,FALSE)))))</f>
        <v>0</v>
      </c>
      <c r="E94" s="8" t="b">
        <f>IF('DATA INPUT'!B98="T. ser",5.0562*('DATA INPUT'!H98*'DATA INPUT'!I98)^0.9574,IF('DATA INPUT'!B98="S. mel",44047*('DATA INPUT'!H98*'DATA INPUT'!I98)^1.5456/1000,IF('DATA INPUT'!B98="V. ref",91930*('DATA INPUT'!H98*'DATA INPUT'!I98)^1.7774/1000,IF('DATA INPUT'!B98=1,62601*('DATA INPUT'!H98*'DATA INPUT'!I98)^1.6463/1000,IF('DATA INPUT'!B98=2,5.0562*('DATA INPUT'!H98*'DATA INPUT'!I98)^0.9574,FALSE)))))</f>
        <v>0</v>
      </c>
      <c r="F94" s="18" t="b">
        <f>IF('DATA INPUT'!B98="T. ser",0.0009*I94^0.4477,IF('DATA INPUT'!B98="S. mel",0.0000004*I94^1.4912/1000,IF('DATA INPUT'!B98="V. ref",0.00000005*I94^1.6284/1000,IF('DATA INPUT'!B98=1,0.0000007*I94^1.4601/1000,IF('DATA INPUT'!B98=2,0.0009*I94^0.4477,FALSE)))))</f>
        <v>0</v>
      </c>
      <c r="G94" s="57">
        <f t="shared" si="10"/>
        <v>0</v>
      </c>
      <c r="H94" s="57"/>
      <c r="I94" s="2" t="b">
        <f>IF('DATA INPUT'!B98="T. ser",3.142*'DATA INPUT'!N98^2*'DATA INPUT'!O98/3+3.142*'DATA INPUT'!P98^2/3*(3*'DATA INPUT'!N98-'DATA INPUT'!P98),IF('DATA INPUT'!B98="S. mel",3.142*'DATA INPUT'!N98^2*'DATA INPUT'!O98/3+3.142*'DATA INPUT'!P98^2/3*(3*'DATA INPUT'!N98-'DATA INPUT'!P98),IF('DATA INPUT'!B98="V. ref",3.142*'DATA INPUT'!N98^2*'DATA INPUT'!O98/3+3.142*'DATA INPUT'!P98^2/3*(3*'DATA INPUT'!N98-'DATA INPUT'!P98),IF('DATA INPUT'!B98=1,3.142*'DATA INPUT'!N98^2*'DATA INPUT'!O98/3+3.142*'DATA INPUT'!P98^2/3*(3*'DATA INPUT'!N98-'DATA INPUT'!P98),IF('DATA INPUT'!B98=2,3.142*'DATA INPUT'!N98^2*'DATA INPUT'!O98/3+3.142*'DATA INPUT'!P98^2/3*(3*'DATA INPUT'!N98-'DATA INPUT'!P98),FALSE)))))</f>
        <v>0</v>
      </c>
      <c r="J94" s="2" t="b">
        <f>IF('DATA INPUT'!B98="T. ser",0.0458*CALCULATIONS!I94^0.6841,IF('DATA INPUT'!B98="S. mel",0.6047*CALCULATIONS!I94^0.6433,IF('DATA INPUT'!B98="V. ref",0.77086*CALCULATIONS!I94^0.4936,IF('DATA INPUT'!B98=1,0.68778*CALCULATIONS!I94^0.56845,IF('DATA INPUT'!B98=2,0.0458*CALCULATIONS!I94^0.6841,FALSE)))))</f>
        <v>0</v>
      </c>
      <c r="K94" s="3">
        <f t="shared" si="8"/>
        <v>0</v>
      </c>
      <c r="L94" s="3" t="b">
        <f>IF('DATA INPUT'!B98="T. ser",('DATA INPUT'!D98+'DATA INPUT'!F98+'DATA INPUT'!H98+'DATA INPUT'!J98)/1.5,IF('DATA INPUT'!B98="V. ref",('DATA INPUT'!D98+'DATA INPUT'!F98+'DATA INPUT'!H98+'DATA INPUT'!J98)/1.5,IF('DATA INPUT'!B98="S. mel",('DATA INPUT'!D98+'DATA INPUT'!F98+'DATA INPUT'!H98+'DATA INPUT'!J98)/1.5,IF('DATA INPUT'!B98=1,('DATA INPUT'!D98+'DATA INPUT'!F98+'DATA INPUT'!H98+'DATA INPUT'!J98)/1.5,IF('DATA INPUT'!B98=2,('DATA INPUT'!D98+'DATA INPUT'!F98+'DATA INPUT'!H98+'DATA INPUT'!J98)/1.5,FALSE)))))</f>
        <v>0</v>
      </c>
      <c r="N94" s="16">
        <f>'DATA INPUT'!C98</f>
        <v>0</v>
      </c>
      <c r="O94" s="3" t="b">
        <f>IF('DATA INPUT'!B98="T. ser",0.3446*'DATA INPUT'!D98^1.0619,IF('DATA INPUT'!B98="S. mel",(1270.6*'DATA INPUT'!D98^2.0933)/1000,IF('DATA INPUT'!B98="V. ref",(816.25*'DATA INPUT'!D98^2.1754)/1000,IF('DATA INPUT'!B98=1,(1492.4*'DATA INPUT'!D98^1.7591)/1000,IF('DATA INPUT'!B98=2,0.3446*'DATA INPUT'!D98^1.0619,FALSE)))))</f>
        <v>0</v>
      </c>
      <c r="P94" s="3" t="b">
        <f>IF('DATA INPUT'!B98="T. ser",0.3662*'DATA INPUT'!E98^1.5061,IF('DATA INPUT'!B98="S. mel",(748.47*'DATA INPUT'!E98^2.2691)/1000,IF('DATA INPUT'!B98="V. ref",(953.69*'DATA INPUT'!E98^1.9524)/1000,IF('DATA INPUT'!B98=1,(695.02*'DATA INPUT'!E98^2.3452)/1000,IF('DATA INPUT'!B98=2,0.3662*'DATA INPUT'!E98^1.5061,FALSE)))))</f>
        <v>0</v>
      </c>
      <c r="Q94" s="3" t="b">
        <f>IF('DATA INPUT'!B98="T. ser",0.1225*('DATA INPUT'!F98*'DATA INPUT'!G98)^0.8272,IF('DATA INPUT'!B98="S. mel",(925.08*('DATA INPUT'!F98*'DATA INPUT'!G98)^1.1603)/1000,IF('DATA INPUT'!B98="V. ref",(776.29*('DATA INPUT'!F98*'DATA INPUT'!G98)^1.1226)/1000,IF('DATA INPUT'!B98=1,(884.6*('DATA INPUT'!F98*'DATA INPUT'!G98)^1.129)/1000,IF('DATA INPUT'!B98=2,0.1225*('DATA INPUT'!F98*'DATA INPUT'!G98)^0.8272,FALSE)))))</f>
        <v>0</v>
      </c>
      <c r="R94" s="3" t="b">
        <f>IF('DATA INPUT'!B98="T. ser",5.5287*('DATA INPUT'!H98*'DATA INPUT'!I98)^0.8272,IF('DATA INPUT'!B98="S. mel",(31469*('DATA INPUT'!H98*'DATA INPUT'!I98)^0.8608)/1000,IF('DATA INPUT'!B98="V. ref",(39394*('DATA INPUT'!H98*'DATA INPUT'!I98)^1.005)/1000,IF('DATA INPUT'!B98=1,(31791*('DATA INPUT'!H98*'DATA INPUT'!I98)^0.8467)/1000,IF('DATA INPUT'!B98=2,5.5287*('DATA INPUT'!H98*'DATA INPUT'!I98)^0.8272,FALSE)))))</f>
        <v>0</v>
      </c>
      <c r="S94" s="3" t="b">
        <f>IF('DATA INPUT'!B98="T. ser",0.0005*I94^0.5148,IF('DATA INPUT'!B98="S. mel",0.051*I94^0.7789/1000,IF('DATA INPUT'!B98="V. ref",0.0958*I94^0.7253/1000,IF('DATA INPUT'!B98=1,0.0426*I94^0.786/1000,IF('DATA INPUT'!B98=2,0.0005*I94^0.5148,FALSE)))))</f>
        <v>0</v>
      </c>
      <c r="T94" s="59">
        <f t="shared" si="9"/>
        <v>0</v>
      </c>
    </row>
    <row r="95" spans="1:20" x14ac:dyDescent="0.2">
      <c r="A95" s="218">
        <f>'DATA INPUT'!C99</f>
        <v>0</v>
      </c>
      <c r="B95" s="11" t="b">
        <f>IF('DATA INPUT'!B99="T. ser",0.1656*'DATA INPUT'!D99^1.4655,IF('DATA INPUT'!B99="S. mel",135.53*'DATA INPUT'!D99^3.8701/1000,IF('DATA INPUT'!B99="V. ref",143.01*'DATA INPUT'!D99^3.3147/1000,IF('DATA INPUT'!B99=1,143.35*'DATA INPUT'!D99^3.6046/1000,IF('DATA INPUT'!B99=2,0.1656*'DATA INPUT'!D99^1.4655,FALSE)))))</f>
        <v>0</v>
      </c>
      <c r="C95" s="8" t="b">
        <f>IF('DATA INPUT'!B99="T. ser",0.3356*'DATA INPUT'!E99^0.9984,IF('DATA INPUT'!B99="S. mel",24.906*'DATA INPUT'!E99^4.7681/1000,IF('DATA INPUT'!B99="V. ref",118.45*'DATA INPUT'!E99^3.5959/1000,IF('DATA INPUT'!B99=1,55.075*'DATA INPUT'!E99^4.0991/1000,IF('DATA INPUT'!B99=2,0.3356*'DATA INPUT'!E99^0.9984,FALSE)))))</f>
        <v>0</v>
      </c>
      <c r="D95" s="18" t="b">
        <f>IF('DATA INPUT'!B99="T. ser",0.0615*('DATA INPUT'!F99*'DATA INPUT'!G99)^0.9573,IF('DATA INPUT'!B99="S. mel",46.162*('DATA INPUT'!F99*'DATA INPUT'!G99)^2.3652/1000,IF('DATA INPUT'!B99="V. ref",90.34*('DATA INPUT'!F99*'DATA INPUT'!G99)^1.9756/1000,IF('DATA INPUT'!B99=1,63.022*('DATA INPUT'!F99*'DATA INPUT'!G99)^2.1551/1000,IF('DATA INPUT'!B99=2,0.0615*('DATA INPUT'!F99*'DATA INPUT'!G99)^0.9573,FALSE)))))</f>
        <v>0</v>
      </c>
      <c r="E95" s="8" t="b">
        <f>IF('DATA INPUT'!B99="T. ser",5.0562*('DATA INPUT'!H99*'DATA INPUT'!I99)^0.9574,IF('DATA INPUT'!B99="S. mel",44047*('DATA INPUT'!H99*'DATA INPUT'!I99)^1.5456/1000,IF('DATA INPUT'!B99="V. ref",91930*('DATA INPUT'!H99*'DATA INPUT'!I99)^1.7774/1000,IF('DATA INPUT'!B99=1,62601*('DATA INPUT'!H99*'DATA INPUT'!I99)^1.6463/1000,IF('DATA INPUT'!B99=2,5.0562*('DATA INPUT'!H99*'DATA INPUT'!I99)^0.9574,FALSE)))))</f>
        <v>0</v>
      </c>
      <c r="F95" s="18" t="b">
        <f>IF('DATA INPUT'!B99="T. ser",0.0009*I95^0.4477,IF('DATA INPUT'!B99="S. mel",0.0000004*I95^1.4912/1000,IF('DATA INPUT'!B99="V. ref",0.00000005*I95^1.6284/1000,IF('DATA INPUT'!B99=1,0.0000007*I95^1.4601/1000,IF('DATA INPUT'!B99=2,0.0009*I95^0.4477,FALSE)))))</f>
        <v>0</v>
      </c>
      <c r="G95" s="57">
        <f t="shared" si="10"/>
        <v>0</v>
      </c>
      <c r="H95" s="57"/>
      <c r="I95" s="2" t="b">
        <f>IF('DATA INPUT'!B99="T. ser",3.142*'DATA INPUT'!N99^2*'DATA INPUT'!O99/3+3.142*'DATA INPUT'!P99^2/3*(3*'DATA INPUT'!N99-'DATA INPUT'!P99),IF('DATA INPUT'!B99="S. mel",3.142*'DATA INPUT'!N99^2*'DATA INPUT'!O99/3+3.142*'DATA INPUT'!P99^2/3*(3*'DATA INPUT'!N99-'DATA INPUT'!P99),IF('DATA INPUT'!B99="V. ref",3.142*'DATA INPUT'!N99^2*'DATA INPUT'!O99/3+3.142*'DATA INPUT'!P99^2/3*(3*'DATA INPUT'!N99-'DATA INPUT'!P99),IF('DATA INPUT'!B99=1,3.142*'DATA INPUT'!N99^2*'DATA INPUT'!O99/3+3.142*'DATA INPUT'!P99^2/3*(3*'DATA INPUT'!N99-'DATA INPUT'!P99),IF('DATA INPUT'!B99=2,3.142*'DATA INPUT'!N99^2*'DATA INPUT'!O99/3+3.142*'DATA INPUT'!P99^2/3*(3*'DATA INPUT'!N99-'DATA INPUT'!P99),FALSE)))))</f>
        <v>0</v>
      </c>
      <c r="J95" s="2" t="b">
        <f>IF('DATA INPUT'!B99="T. ser",0.0458*CALCULATIONS!I95^0.6841,IF('DATA INPUT'!B99="S. mel",0.6047*CALCULATIONS!I95^0.6433,IF('DATA INPUT'!B99="V. ref",0.77086*CALCULATIONS!I95^0.4936,IF('DATA INPUT'!B99=1,0.68778*CALCULATIONS!I95^0.56845,IF('DATA INPUT'!B99=2,0.0458*CALCULATIONS!I95^0.6841,FALSE)))))</f>
        <v>0</v>
      </c>
      <c r="K95" s="3">
        <f t="shared" si="8"/>
        <v>0</v>
      </c>
      <c r="L95" s="3" t="b">
        <f>IF('DATA INPUT'!B99="T. ser",('DATA INPUT'!D99+'DATA INPUT'!F99+'DATA INPUT'!H99+'DATA INPUT'!J99)/1.5,IF('DATA INPUT'!B99="V. ref",('DATA INPUT'!D99+'DATA INPUT'!F99+'DATA INPUT'!H99+'DATA INPUT'!J99)/1.5,IF('DATA INPUT'!B99="S. mel",('DATA INPUT'!D99+'DATA INPUT'!F99+'DATA INPUT'!H99+'DATA INPUT'!J99)/1.5,IF('DATA INPUT'!B99=1,('DATA INPUT'!D99+'DATA INPUT'!F99+'DATA INPUT'!H99+'DATA INPUT'!J99)/1.5,IF('DATA INPUT'!B99=2,('DATA INPUT'!D99+'DATA INPUT'!F99+'DATA INPUT'!H99+'DATA INPUT'!J99)/1.5,FALSE)))))</f>
        <v>0</v>
      </c>
      <c r="N95" s="16">
        <f>'DATA INPUT'!C99</f>
        <v>0</v>
      </c>
      <c r="O95" s="3" t="b">
        <f>IF('DATA INPUT'!B99="T. ser",0.3446*'DATA INPUT'!D99^1.0619,IF('DATA INPUT'!B99="S. mel",(1270.6*'DATA INPUT'!D99^2.0933)/1000,IF('DATA INPUT'!B99="V. ref",(816.25*'DATA INPUT'!D99^2.1754)/1000,IF('DATA INPUT'!B99=1,(1492.4*'DATA INPUT'!D99^1.7591)/1000,IF('DATA INPUT'!B99=2,0.3446*'DATA INPUT'!D99^1.0619,FALSE)))))</f>
        <v>0</v>
      </c>
      <c r="P95" s="3" t="b">
        <f>IF('DATA INPUT'!B99="T. ser",0.3662*'DATA INPUT'!E99^1.5061,IF('DATA INPUT'!B99="S. mel",(748.47*'DATA INPUT'!E99^2.2691)/1000,IF('DATA INPUT'!B99="V. ref",(953.69*'DATA INPUT'!E99^1.9524)/1000,IF('DATA INPUT'!B99=1,(695.02*'DATA INPUT'!E99^2.3452)/1000,IF('DATA INPUT'!B99=2,0.3662*'DATA INPUT'!E99^1.5061,FALSE)))))</f>
        <v>0</v>
      </c>
      <c r="Q95" s="3" t="b">
        <f>IF('DATA INPUT'!B99="T. ser",0.1225*('DATA INPUT'!F99*'DATA INPUT'!G99)^0.8272,IF('DATA INPUT'!B99="S. mel",(925.08*('DATA INPUT'!F99*'DATA INPUT'!G99)^1.1603)/1000,IF('DATA INPUT'!B99="V. ref",(776.29*('DATA INPUT'!F99*'DATA INPUT'!G99)^1.1226)/1000,IF('DATA INPUT'!B99=1,(884.6*('DATA INPUT'!F99*'DATA INPUT'!G99)^1.129)/1000,IF('DATA INPUT'!B99=2,0.1225*('DATA INPUT'!F99*'DATA INPUT'!G99)^0.8272,FALSE)))))</f>
        <v>0</v>
      </c>
      <c r="R95" s="3" t="b">
        <f>IF('DATA INPUT'!B99="T. ser",5.5287*('DATA INPUT'!H99*'DATA INPUT'!I99)^0.8272,IF('DATA INPUT'!B99="S. mel",(31469*('DATA INPUT'!H99*'DATA INPUT'!I99)^0.8608)/1000,IF('DATA INPUT'!B99="V. ref",(39394*('DATA INPUT'!H99*'DATA INPUT'!I99)^1.005)/1000,IF('DATA INPUT'!B99=1,(31791*('DATA INPUT'!H99*'DATA INPUT'!I99)^0.8467)/1000,IF('DATA INPUT'!B99=2,5.5287*('DATA INPUT'!H99*'DATA INPUT'!I99)^0.8272,FALSE)))))</f>
        <v>0</v>
      </c>
      <c r="S95" s="3" t="b">
        <f>IF('DATA INPUT'!B99="T. ser",0.0005*I95^0.5148,IF('DATA INPUT'!B99="S. mel",0.051*I95^0.7789/1000,IF('DATA INPUT'!B99="V. ref",0.0958*I95^0.7253/1000,IF('DATA INPUT'!B99=1,0.0426*I95^0.786/1000,IF('DATA INPUT'!B99=2,0.0005*I95^0.5148,FALSE)))))</f>
        <v>0</v>
      </c>
      <c r="T95" s="59">
        <f t="shared" si="9"/>
        <v>0</v>
      </c>
    </row>
    <row r="96" spans="1:20" x14ac:dyDescent="0.2">
      <c r="A96" s="218">
        <f>'DATA INPUT'!C100</f>
        <v>0</v>
      </c>
      <c r="B96" s="11" t="b">
        <f>IF('DATA INPUT'!B100="T. ser",0.1656*'DATA INPUT'!D100^1.4655,IF('DATA INPUT'!B100="S. mel",135.53*'DATA INPUT'!D100^3.8701/1000,IF('DATA INPUT'!B100="V. ref",143.01*'DATA INPUT'!D100^3.3147/1000,IF('DATA INPUT'!B100=1,143.35*'DATA INPUT'!D100^3.6046/1000,IF('DATA INPUT'!B100=2,0.1656*'DATA INPUT'!D100^1.4655,FALSE)))))</f>
        <v>0</v>
      </c>
      <c r="C96" s="8" t="b">
        <f>IF('DATA INPUT'!B100="T. ser",0.3356*'DATA INPUT'!E100^0.9984,IF('DATA INPUT'!B100="S. mel",24.906*'DATA INPUT'!E100^4.7681/1000,IF('DATA INPUT'!B100="V. ref",118.45*'DATA INPUT'!E100^3.5959/1000,IF('DATA INPUT'!B100=1,55.075*'DATA INPUT'!E100^4.0991/1000,IF('DATA INPUT'!B100=2,0.3356*'DATA INPUT'!E100^0.9984,FALSE)))))</f>
        <v>0</v>
      </c>
      <c r="D96" s="18" t="b">
        <f>IF('DATA INPUT'!B100="T. ser",0.0615*('DATA INPUT'!F100*'DATA INPUT'!G100)^0.9573,IF('DATA INPUT'!B100="S. mel",46.162*('DATA INPUT'!F100*'DATA INPUT'!G100)^2.3652/1000,IF('DATA INPUT'!B100="V. ref",90.34*('DATA INPUT'!F100*'DATA INPUT'!G100)^1.9756/1000,IF('DATA INPUT'!B100=1,63.022*('DATA INPUT'!F100*'DATA INPUT'!G100)^2.1551/1000,IF('DATA INPUT'!B100=2,0.0615*('DATA INPUT'!F100*'DATA INPUT'!G100)^0.9573,FALSE)))))</f>
        <v>0</v>
      </c>
      <c r="E96" s="8" t="b">
        <f>IF('DATA INPUT'!B100="T. ser",5.0562*('DATA INPUT'!H100*'DATA INPUT'!I100)^0.9574,IF('DATA INPUT'!B100="S. mel",44047*('DATA INPUT'!H100*'DATA INPUT'!I100)^1.5456/1000,IF('DATA INPUT'!B100="V. ref",91930*('DATA INPUT'!H100*'DATA INPUT'!I100)^1.7774/1000,IF('DATA INPUT'!B100=1,62601*('DATA INPUT'!H100*'DATA INPUT'!I100)^1.6463/1000,IF('DATA INPUT'!B100=2,5.0562*('DATA INPUT'!H100*'DATA INPUT'!I100)^0.9574,FALSE)))))</f>
        <v>0</v>
      </c>
      <c r="F96" s="18" t="b">
        <f>IF('DATA INPUT'!B100="T. ser",0.0009*I96^0.4477,IF('DATA INPUT'!B100="S. mel",0.0000004*I96^1.4912/1000,IF('DATA INPUT'!B100="V. ref",0.00000005*I96^1.6284/1000,IF('DATA INPUT'!B100=1,0.0000007*I96^1.4601/1000,IF('DATA INPUT'!B100=2,0.0009*I96^0.4477,FALSE)))))</f>
        <v>0</v>
      </c>
      <c r="G96" s="57">
        <f t="shared" si="10"/>
        <v>0</v>
      </c>
      <c r="H96" s="57"/>
      <c r="I96" s="2" t="b">
        <f>IF('DATA INPUT'!B100="T. ser",3.142*'DATA INPUT'!N100^2*'DATA INPUT'!O100/3+3.142*'DATA INPUT'!P100^2/3*(3*'DATA INPUT'!N100-'DATA INPUT'!P100),IF('DATA INPUT'!B100="S. mel",3.142*'DATA INPUT'!N100^2*'DATA INPUT'!O100/3+3.142*'DATA INPUT'!P100^2/3*(3*'DATA INPUT'!N100-'DATA INPUT'!P100),IF('DATA INPUT'!B100="V. ref",3.142*'DATA INPUT'!N100^2*'DATA INPUT'!O100/3+3.142*'DATA INPUT'!P100^2/3*(3*'DATA INPUT'!N100-'DATA INPUT'!P100),IF('DATA INPUT'!B100=1,3.142*'DATA INPUT'!N100^2*'DATA INPUT'!O100/3+3.142*'DATA INPUT'!P100^2/3*(3*'DATA INPUT'!N100-'DATA INPUT'!P100),IF('DATA INPUT'!B100=2,3.142*'DATA INPUT'!N100^2*'DATA INPUT'!O100/3+3.142*'DATA INPUT'!P100^2/3*(3*'DATA INPUT'!N100-'DATA INPUT'!P100),FALSE)))))</f>
        <v>0</v>
      </c>
      <c r="J96" s="2" t="b">
        <f>IF('DATA INPUT'!B100="T. ser",0.0458*CALCULATIONS!I96^0.6841,IF('DATA INPUT'!B100="S. mel",0.6047*CALCULATIONS!I96^0.6433,IF('DATA INPUT'!B100="V. ref",0.77086*CALCULATIONS!I96^0.4936,IF('DATA INPUT'!B100=1,0.68778*CALCULATIONS!I96^0.56845,IF('DATA INPUT'!B100=2,0.0458*CALCULATIONS!I96^0.6841,FALSE)))))</f>
        <v>0</v>
      </c>
      <c r="K96" s="3">
        <f t="shared" si="8"/>
        <v>0</v>
      </c>
      <c r="L96" s="3" t="b">
        <f>IF('DATA INPUT'!B100="T. ser",('DATA INPUT'!D100+'DATA INPUT'!F100+'DATA INPUT'!H100+'DATA INPUT'!J100)/1.5,IF('DATA INPUT'!B100="V. ref",('DATA INPUT'!D100+'DATA INPUT'!F100+'DATA INPUT'!H100+'DATA INPUT'!J100)/1.5,IF('DATA INPUT'!B100="S. mel",('DATA INPUT'!D100+'DATA INPUT'!F100+'DATA INPUT'!H100+'DATA INPUT'!J100)/1.5,IF('DATA INPUT'!B100=1,('DATA INPUT'!D100+'DATA INPUT'!F100+'DATA INPUT'!H100+'DATA INPUT'!J100)/1.5,IF('DATA INPUT'!B100=2,('DATA INPUT'!D100+'DATA INPUT'!F100+'DATA INPUT'!H100+'DATA INPUT'!J100)/1.5,FALSE)))))</f>
        <v>0</v>
      </c>
      <c r="N96" s="16">
        <f>'DATA INPUT'!C100</f>
        <v>0</v>
      </c>
      <c r="O96" s="3" t="b">
        <f>IF('DATA INPUT'!B100="T. ser",0.3446*'DATA INPUT'!D100^1.0619,IF('DATA INPUT'!B100="S. mel",(1270.6*'DATA INPUT'!D100^2.0933)/1000,IF('DATA INPUT'!B100="V. ref",(816.25*'DATA INPUT'!D100^2.1754)/1000,IF('DATA INPUT'!B100=1,(1492.4*'DATA INPUT'!D100^1.7591)/1000,IF('DATA INPUT'!B100=2,0.3446*'DATA INPUT'!D100^1.0619,FALSE)))))</f>
        <v>0</v>
      </c>
      <c r="P96" s="3" t="b">
        <f>IF('DATA INPUT'!B100="T. ser",0.3662*'DATA INPUT'!E100^1.5061,IF('DATA INPUT'!B100="S. mel",(748.47*'DATA INPUT'!E100^2.2691)/1000,IF('DATA INPUT'!B100="V. ref",(953.69*'DATA INPUT'!E100^1.9524)/1000,IF('DATA INPUT'!B100=1,(695.02*'DATA INPUT'!E100^2.3452)/1000,IF('DATA INPUT'!B100=2,0.3662*'DATA INPUT'!E100^1.5061,FALSE)))))</f>
        <v>0</v>
      </c>
      <c r="Q96" s="3" t="b">
        <f>IF('DATA INPUT'!B100="T. ser",0.1225*('DATA INPUT'!F100*'DATA INPUT'!G100)^0.8272,IF('DATA INPUT'!B100="S. mel",(925.08*('DATA INPUT'!F100*'DATA INPUT'!G100)^1.1603)/1000,IF('DATA INPUT'!B100="V. ref",(776.29*('DATA INPUT'!F100*'DATA INPUT'!G100)^1.1226)/1000,IF('DATA INPUT'!B100=1,(884.6*('DATA INPUT'!F100*'DATA INPUT'!G100)^1.129)/1000,IF('DATA INPUT'!B100=2,0.1225*('DATA INPUT'!F100*'DATA INPUT'!G100)^0.8272,FALSE)))))</f>
        <v>0</v>
      </c>
      <c r="R96" s="3" t="b">
        <f>IF('DATA INPUT'!B100="T. ser",5.5287*('DATA INPUT'!H100*'DATA INPUT'!I100)^0.8272,IF('DATA INPUT'!B100="S. mel",(31469*('DATA INPUT'!H100*'DATA INPUT'!I100)^0.8608)/1000,IF('DATA INPUT'!B100="V. ref",(39394*('DATA INPUT'!H100*'DATA INPUT'!I100)^1.005)/1000,IF('DATA INPUT'!B100=1,(31791*('DATA INPUT'!H100*'DATA INPUT'!I100)^0.8467)/1000,IF('DATA INPUT'!B100=2,5.5287*('DATA INPUT'!H100*'DATA INPUT'!I100)^0.8272,FALSE)))))</f>
        <v>0</v>
      </c>
      <c r="S96" s="3" t="b">
        <f>IF('DATA INPUT'!B100="T. ser",0.0005*I96^0.5148,IF('DATA INPUT'!B100="S. mel",0.051*I96^0.7789/1000,IF('DATA INPUT'!B100="V. ref",0.0958*I96^0.7253/1000,IF('DATA INPUT'!B100=1,0.0426*I96^0.786/1000,IF('DATA INPUT'!B100=2,0.0005*I96^0.5148,FALSE)))))</f>
        <v>0</v>
      </c>
      <c r="T96" s="59">
        <f t="shared" si="9"/>
        <v>0</v>
      </c>
    </row>
    <row r="97" spans="1:20" x14ac:dyDescent="0.2">
      <c r="A97" s="218">
        <f>'DATA INPUT'!C101</f>
        <v>0</v>
      </c>
      <c r="B97" s="11" t="b">
        <f>IF('DATA INPUT'!B101="T. ser",0.1656*'DATA INPUT'!D101^1.4655,IF('DATA INPUT'!B101="S. mel",135.53*'DATA INPUT'!D101^3.8701/1000,IF('DATA INPUT'!B101="V. ref",143.01*'DATA INPUT'!D101^3.3147/1000,IF('DATA INPUT'!B101=1,143.35*'DATA INPUT'!D101^3.6046/1000,IF('DATA INPUT'!B101=2,0.1656*'DATA INPUT'!D101^1.4655,FALSE)))))</f>
        <v>0</v>
      </c>
      <c r="C97" s="8" t="b">
        <f>IF('DATA INPUT'!B101="T. ser",0.3356*'DATA INPUT'!E101^0.9984,IF('DATA INPUT'!B101="S. mel",24.906*'DATA INPUT'!E101^4.7681/1000,IF('DATA INPUT'!B101="V. ref",118.45*'DATA INPUT'!E101^3.5959/1000,IF('DATA INPUT'!B101=1,55.075*'DATA INPUT'!E101^4.0991/1000,IF('DATA INPUT'!B101=2,0.3356*'DATA INPUT'!E101^0.9984,FALSE)))))</f>
        <v>0</v>
      </c>
      <c r="D97" s="18" t="b">
        <f>IF('DATA INPUT'!B101="T. ser",0.0615*('DATA INPUT'!F101*'DATA INPUT'!G101)^0.9573,IF('DATA INPUT'!B101="S. mel",46.162*('DATA INPUT'!F101*'DATA INPUT'!G101)^2.3652/1000,IF('DATA INPUT'!B101="V. ref",90.34*('DATA INPUT'!F101*'DATA INPUT'!G101)^1.9756/1000,IF('DATA INPUT'!B101=1,63.022*('DATA INPUT'!F101*'DATA INPUT'!G101)^2.1551/1000,IF('DATA INPUT'!B101=2,0.0615*('DATA INPUT'!F101*'DATA INPUT'!G101)^0.9573,FALSE)))))</f>
        <v>0</v>
      </c>
      <c r="E97" s="8" t="b">
        <f>IF('DATA INPUT'!B101="T. ser",5.0562*('DATA INPUT'!H101*'DATA INPUT'!I101)^0.9574,IF('DATA INPUT'!B101="S. mel",44047*('DATA INPUT'!H101*'DATA INPUT'!I101)^1.5456/1000,IF('DATA INPUT'!B101="V. ref",91930*('DATA INPUT'!H101*'DATA INPUT'!I101)^1.7774/1000,IF('DATA INPUT'!B101=1,62601*('DATA INPUT'!H101*'DATA INPUT'!I101)^1.6463/1000,IF('DATA INPUT'!B101=2,5.0562*('DATA INPUT'!H101*'DATA INPUT'!I101)^0.9574,FALSE)))))</f>
        <v>0</v>
      </c>
      <c r="F97" s="18" t="b">
        <f>IF('DATA INPUT'!B101="T. ser",0.0009*I97^0.4477,IF('DATA INPUT'!B101="S. mel",0.0000004*I97^1.4912/1000,IF('DATA INPUT'!B101="V. ref",0.00000005*I97^1.6284/1000,IF('DATA INPUT'!B101=1,0.0000007*I97^1.4601/1000,IF('DATA INPUT'!B101=2,0.0009*I97^0.4477,FALSE)))))</f>
        <v>0</v>
      </c>
      <c r="G97" s="57">
        <f t="shared" si="10"/>
        <v>0</v>
      </c>
      <c r="H97" s="57"/>
      <c r="I97" s="2" t="b">
        <f>IF('DATA INPUT'!B101="T. ser",3.142*'DATA INPUT'!N101^2*'DATA INPUT'!O101/3+3.142*'DATA INPUT'!P101^2/3*(3*'DATA INPUT'!N101-'DATA INPUT'!P101),IF('DATA INPUT'!B101="S. mel",3.142*'DATA INPUT'!N101^2*'DATA INPUT'!O101/3+3.142*'DATA INPUT'!P101^2/3*(3*'DATA INPUT'!N101-'DATA INPUT'!P101),IF('DATA INPUT'!B101="V. ref",3.142*'DATA INPUT'!N101^2*'DATA INPUT'!O101/3+3.142*'DATA INPUT'!P101^2/3*(3*'DATA INPUT'!N101-'DATA INPUT'!P101),IF('DATA INPUT'!B101=1,3.142*'DATA INPUT'!N101^2*'DATA INPUT'!O101/3+3.142*'DATA INPUT'!P101^2/3*(3*'DATA INPUT'!N101-'DATA INPUT'!P101),IF('DATA INPUT'!B101=2,3.142*'DATA INPUT'!N101^2*'DATA INPUT'!O101/3+3.142*'DATA INPUT'!P101^2/3*(3*'DATA INPUT'!N101-'DATA INPUT'!P101),FALSE)))))</f>
        <v>0</v>
      </c>
      <c r="J97" s="2" t="b">
        <f>IF('DATA INPUT'!B101="T. ser",0.0458*CALCULATIONS!I97^0.6841,IF('DATA INPUT'!B101="S. mel",0.6047*CALCULATIONS!I97^0.6433,IF('DATA INPUT'!B101="V. ref",0.77086*CALCULATIONS!I97^0.4936,IF('DATA INPUT'!B101=1,0.68778*CALCULATIONS!I97^0.56845,IF('DATA INPUT'!B101=2,0.0458*CALCULATIONS!I97^0.6841,FALSE)))))</f>
        <v>0</v>
      </c>
      <c r="K97" s="3">
        <f t="shared" si="8"/>
        <v>0</v>
      </c>
      <c r="L97" s="3" t="b">
        <f>IF('DATA INPUT'!B101="T. ser",('DATA INPUT'!D101+'DATA INPUT'!F101+'DATA INPUT'!H101+'DATA INPUT'!J101)/1.5,IF('DATA INPUT'!B101="V. ref",('DATA INPUT'!D101+'DATA INPUT'!F101+'DATA INPUT'!H101+'DATA INPUT'!J101)/1.5,IF('DATA INPUT'!B101="S. mel",('DATA INPUT'!D101+'DATA INPUT'!F101+'DATA INPUT'!H101+'DATA INPUT'!J101)/1.5,IF('DATA INPUT'!B101=1,('DATA INPUT'!D101+'DATA INPUT'!F101+'DATA INPUT'!H101+'DATA INPUT'!J101)/1.5,IF('DATA INPUT'!B101=2,('DATA INPUT'!D101+'DATA INPUT'!F101+'DATA INPUT'!H101+'DATA INPUT'!J101)/1.5,FALSE)))))</f>
        <v>0</v>
      </c>
      <c r="N97" s="16">
        <f>'DATA INPUT'!C101</f>
        <v>0</v>
      </c>
      <c r="O97" s="3" t="b">
        <f>IF('DATA INPUT'!B101="T. ser",0.3446*'DATA INPUT'!D101^1.0619,IF('DATA INPUT'!B101="S. mel",(1270.6*'DATA INPUT'!D101^2.0933)/1000,IF('DATA INPUT'!B101="V. ref",(816.25*'DATA INPUT'!D101^2.1754)/1000,IF('DATA INPUT'!B101=1,(1492.4*'DATA INPUT'!D101^1.7591)/1000,IF('DATA INPUT'!B101=2,0.3446*'DATA INPUT'!D101^1.0619,FALSE)))))</f>
        <v>0</v>
      </c>
      <c r="P97" s="3" t="b">
        <f>IF('DATA INPUT'!B101="T. ser",0.3662*'DATA INPUT'!E101^1.5061,IF('DATA INPUT'!B101="S. mel",(748.47*'DATA INPUT'!E101^2.2691)/1000,IF('DATA INPUT'!B101="V. ref",(953.69*'DATA INPUT'!E101^1.9524)/1000,IF('DATA INPUT'!B101=1,(695.02*'DATA INPUT'!E101^2.3452)/1000,IF('DATA INPUT'!B101=2,0.3662*'DATA INPUT'!E101^1.5061,FALSE)))))</f>
        <v>0</v>
      </c>
      <c r="Q97" s="3" t="b">
        <f>IF('DATA INPUT'!B101="T. ser",0.1225*('DATA INPUT'!F101*'DATA INPUT'!G101)^0.8272,IF('DATA INPUT'!B101="S. mel",(925.08*('DATA INPUT'!F101*'DATA INPUT'!G101)^1.1603)/1000,IF('DATA INPUT'!B101="V. ref",(776.29*('DATA INPUT'!F101*'DATA INPUT'!G101)^1.1226)/1000,IF('DATA INPUT'!B101=1,(884.6*('DATA INPUT'!F101*'DATA INPUT'!G101)^1.129)/1000,IF('DATA INPUT'!B101=2,0.1225*('DATA INPUT'!F101*'DATA INPUT'!G101)^0.8272,FALSE)))))</f>
        <v>0</v>
      </c>
      <c r="R97" s="3" t="b">
        <f>IF('DATA INPUT'!B101="T. ser",5.5287*('DATA INPUT'!H101*'DATA INPUT'!I101)^0.8272,IF('DATA INPUT'!B101="S. mel",(31469*('DATA INPUT'!H101*'DATA INPUT'!I101)^0.8608)/1000,IF('DATA INPUT'!B101="V. ref",(39394*('DATA INPUT'!H101*'DATA INPUT'!I101)^1.005)/1000,IF('DATA INPUT'!B101=1,(31791*('DATA INPUT'!H101*'DATA INPUT'!I101)^0.8467)/1000,IF('DATA INPUT'!B101=2,5.5287*('DATA INPUT'!H101*'DATA INPUT'!I101)^0.8272,FALSE)))))</f>
        <v>0</v>
      </c>
      <c r="S97" s="3" t="b">
        <f>IF('DATA INPUT'!B101="T. ser",0.0005*I97^0.5148,IF('DATA INPUT'!B101="S. mel",0.051*I97^0.7789/1000,IF('DATA INPUT'!B101="V. ref",0.0958*I97^0.7253/1000,IF('DATA INPUT'!B101=1,0.0426*I97^0.786/1000,IF('DATA INPUT'!B101=2,0.0005*I97^0.5148,FALSE)))))</f>
        <v>0</v>
      </c>
      <c r="T97" s="59">
        <f t="shared" si="9"/>
        <v>0</v>
      </c>
    </row>
    <row r="98" spans="1:20" x14ac:dyDescent="0.2">
      <c r="A98" s="218">
        <f>'DATA INPUT'!C102</f>
        <v>0</v>
      </c>
      <c r="B98" s="11" t="b">
        <f>IF('DATA INPUT'!B102="T. ser",0.1656*'DATA INPUT'!D102^1.4655,IF('DATA INPUT'!B102="S. mel",135.53*'DATA INPUT'!D102^3.8701/1000,IF('DATA INPUT'!B102="V. ref",143.01*'DATA INPUT'!D102^3.3147/1000,IF('DATA INPUT'!B102=1,143.35*'DATA INPUT'!D102^3.6046/1000,IF('DATA INPUT'!B102=2,0.1656*'DATA INPUT'!D102^1.4655,FALSE)))))</f>
        <v>0</v>
      </c>
      <c r="C98" s="8" t="b">
        <f>IF('DATA INPUT'!B102="T. ser",0.3356*'DATA INPUT'!E102^0.9984,IF('DATA INPUT'!B102="S. mel",24.906*'DATA INPUT'!E102^4.7681/1000,IF('DATA INPUT'!B102="V. ref",118.45*'DATA INPUT'!E102^3.5959/1000,IF('DATA INPUT'!B102=1,55.075*'DATA INPUT'!E102^4.0991/1000,IF('DATA INPUT'!B102=2,0.3356*'DATA INPUT'!E102^0.9984,FALSE)))))</f>
        <v>0</v>
      </c>
      <c r="D98" s="18" t="b">
        <f>IF('DATA INPUT'!B102="T. ser",0.0615*('DATA INPUT'!F102*'DATA INPUT'!G102)^0.9573,IF('DATA INPUT'!B102="S. mel",46.162*('DATA INPUT'!F102*'DATA INPUT'!G102)^2.3652/1000,IF('DATA INPUT'!B102="V. ref",90.34*('DATA INPUT'!F102*'DATA INPUT'!G102)^1.9756/1000,IF('DATA INPUT'!B102=1,63.022*('DATA INPUT'!F102*'DATA INPUT'!G102)^2.1551/1000,IF('DATA INPUT'!B102=2,0.0615*('DATA INPUT'!F102*'DATA INPUT'!G102)^0.9573,FALSE)))))</f>
        <v>0</v>
      </c>
      <c r="E98" s="8" t="b">
        <f>IF('DATA INPUT'!B102="T. ser",5.0562*('DATA INPUT'!H102*'DATA INPUT'!I102)^0.9574,IF('DATA INPUT'!B102="S. mel",44047*('DATA INPUT'!H102*'DATA INPUT'!I102)^1.5456/1000,IF('DATA INPUT'!B102="V. ref",91930*('DATA INPUT'!H102*'DATA INPUT'!I102)^1.7774/1000,IF('DATA INPUT'!B102=1,62601*('DATA INPUT'!H102*'DATA INPUT'!I102)^1.6463/1000,IF('DATA INPUT'!B102=2,5.0562*('DATA INPUT'!H102*'DATA INPUT'!I102)^0.9574,FALSE)))))</f>
        <v>0</v>
      </c>
      <c r="F98" s="18" t="b">
        <f>IF('DATA INPUT'!B102="T. ser",0.0009*I98^0.4477,IF('DATA INPUT'!B102="S. mel",0.0000004*I98^1.4912/1000,IF('DATA INPUT'!B102="V. ref",0.00000005*I98^1.6284/1000,IF('DATA INPUT'!B102=1,0.0000007*I98^1.4601/1000,IF('DATA INPUT'!B102=2,0.0009*I98^0.4477,FALSE)))))</f>
        <v>0</v>
      </c>
      <c r="G98" s="57">
        <f t="shared" si="10"/>
        <v>0</v>
      </c>
      <c r="H98" s="57"/>
      <c r="I98" s="2" t="b">
        <f>IF('DATA INPUT'!B102="T. ser",3.142*'DATA INPUT'!N102^2*'DATA INPUT'!O102/3+3.142*'DATA INPUT'!P102^2/3*(3*'DATA INPUT'!N102-'DATA INPUT'!P102),IF('DATA INPUT'!B102="S. mel",3.142*'DATA INPUT'!N102^2*'DATA INPUT'!O102/3+3.142*'DATA INPUT'!P102^2/3*(3*'DATA INPUT'!N102-'DATA INPUT'!P102),IF('DATA INPUT'!B102="V. ref",3.142*'DATA INPUT'!N102^2*'DATA INPUT'!O102/3+3.142*'DATA INPUT'!P102^2/3*(3*'DATA INPUT'!N102-'DATA INPUT'!P102),IF('DATA INPUT'!B102=1,3.142*'DATA INPUT'!N102^2*'DATA INPUT'!O102/3+3.142*'DATA INPUT'!P102^2/3*(3*'DATA INPUT'!N102-'DATA INPUT'!P102),IF('DATA INPUT'!B102=2,3.142*'DATA INPUT'!N102^2*'DATA INPUT'!O102/3+3.142*'DATA INPUT'!P102^2/3*(3*'DATA INPUT'!N102-'DATA INPUT'!P102),FALSE)))))</f>
        <v>0</v>
      </c>
      <c r="J98" s="2" t="b">
        <f>IF('DATA INPUT'!B102="T. ser",0.0458*CALCULATIONS!I98^0.6841,IF('DATA INPUT'!B102="S. mel",0.6047*CALCULATIONS!I98^0.6433,IF('DATA INPUT'!B102="V. ref",0.77086*CALCULATIONS!I98^0.4936,IF('DATA INPUT'!B102=1,0.68778*CALCULATIONS!I98^0.56845,IF('DATA INPUT'!B102=2,0.0458*CALCULATIONS!I98^0.6841,FALSE)))))</f>
        <v>0</v>
      </c>
      <c r="K98" s="3">
        <f t="shared" si="8"/>
        <v>0</v>
      </c>
      <c r="L98" s="3" t="b">
        <f>IF('DATA INPUT'!B102="T. ser",('DATA INPUT'!D102+'DATA INPUT'!F102+'DATA INPUT'!H102+'DATA INPUT'!J102)/1.5,IF('DATA INPUT'!B102="V. ref",('DATA INPUT'!D102+'DATA INPUT'!F102+'DATA INPUT'!H102+'DATA INPUT'!J102)/1.5,IF('DATA INPUT'!B102="S. mel",('DATA INPUT'!D102+'DATA INPUT'!F102+'DATA INPUT'!H102+'DATA INPUT'!J102)/1.5,IF('DATA INPUT'!B102=1,('DATA INPUT'!D102+'DATA INPUT'!F102+'DATA INPUT'!H102+'DATA INPUT'!J102)/1.5,IF('DATA INPUT'!B102=2,('DATA INPUT'!D102+'DATA INPUT'!F102+'DATA INPUT'!H102+'DATA INPUT'!J102)/1.5,FALSE)))))</f>
        <v>0</v>
      </c>
      <c r="N98" s="16">
        <f>'DATA INPUT'!C102</f>
        <v>0</v>
      </c>
      <c r="O98" s="3" t="b">
        <f>IF('DATA INPUT'!B102="T. ser",0.3446*'DATA INPUT'!D102^1.0619,IF('DATA INPUT'!B102="S. mel",(1270.6*'DATA INPUT'!D102^2.0933)/1000,IF('DATA INPUT'!B102="V. ref",(816.25*'DATA INPUT'!D102^2.1754)/1000,IF('DATA INPUT'!B102=1,(1492.4*'DATA INPUT'!D102^1.7591)/1000,IF('DATA INPUT'!B102=2,0.3446*'DATA INPUT'!D102^1.0619,FALSE)))))</f>
        <v>0</v>
      </c>
      <c r="P98" s="3" t="b">
        <f>IF('DATA INPUT'!B102="T. ser",0.3662*'DATA INPUT'!E102^1.5061,IF('DATA INPUT'!B102="S. mel",(748.47*'DATA INPUT'!E102^2.2691)/1000,IF('DATA INPUT'!B102="V. ref",(953.69*'DATA INPUT'!E102^1.9524)/1000,IF('DATA INPUT'!B102=1,(695.02*'DATA INPUT'!E102^2.3452)/1000,IF('DATA INPUT'!B102=2,0.3662*'DATA INPUT'!E102^1.5061,FALSE)))))</f>
        <v>0</v>
      </c>
      <c r="Q98" s="3" t="b">
        <f>IF('DATA INPUT'!B102="T. ser",0.1225*('DATA INPUT'!F102*'DATA INPUT'!G102)^0.8272,IF('DATA INPUT'!B102="S. mel",(925.08*('DATA INPUT'!F102*'DATA INPUT'!G102)^1.1603)/1000,IF('DATA INPUT'!B102="V. ref",(776.29*('DATA INPUT'!F102*'DATA INPUT'!G102)^1.1226)/1000,IF('DATA INPUT'!B102=1,(884.6*('DATA INPUT'!F102*'DATA INPUT'!G102)^1.129)/1000,IF('DATA INPUT'!B102=2,0.1225*('DATA INPUT'!F102*'DATA INPUT'!G102)^0.8272,FALSE)))))</f>
        <v>0</v>
      </c>
      <c r="R98" s="3" t="b">
        <f>IF('DATA INPUT'!B102="T. ser",5.5287*('DATA INPUT'!H102*'DATA INPUT'!I102)^0.8272,IF('DATA INPUT'!B102="S. mel",(31469*('DATA INPUT'!H102*'DATA INPUT'!I102)^0.8608)/1000,IF('DATA INPUT'!B102="V. ref",(39394*('DATA INPUT'!H102*'DATA INPUT'!I102)^1.005)/1000,IF('DATA INPUT'!B102=1,(31791*('DATA INPUT'!H102*'DATA INPUT'!I102)^0.8467)/1000,IF('DATA INPUT'!B102=2,5.5287*('DATA INPUT'!H102*'DATA INPUT'!I102)^0.8272,FALSE)))))</f>
        <v>0</v>
      </c>
      <c r="S98" s="3" t="b">
        <f>IF('DATA INPUT'!B102="T. ser",0.0005*I98^0.5148,IF('DATA INPUT'!B102="S. mel",0.051*I98^0.7789/1000,IF('DATA INPUT'!B102="V. ref",0.0958*I98^0.7253/1000,IF('DATA INPUT'!B102=1,0.0426*I98^0.786/1000,IF('DATA INPUT'!B102=2,0.0005*I98^0.5148,FALSE)))))</f>
        <v>0</v>
      </c>
      <c r="T98" s="59">
        <f t="shared" si="9"/>
        <v>0</v>
      </c>
    </row>
    <row r="99" spans="1:20" x14ac:dyDescent="0.2">
      <c r="A99" s="218">
        <f>'DATA INPUT'!C103</f>
        <v>0</v>
      </c>
      <c r="B99" s="11" t="b">
        <f>IF('DATA INPUT'!B103="T. ser",0.1656*'DATA INPUT'!D103^1.4655,IF('DATA INPUT'!B103="S. mel",135.53*'DATA INPUT'!D103^3.8701/1000,IF('DATA INPUT'!B103="V. ref",143.01*'DATA INPUT'!D103^3.3147/1000,IF('DATA INPUT'!B103=1,143.35*'DATA INPUT'!D103^3.6046/1000,IF('DATA INPUT'!B103=2,0.1656*'DATA INPUT'!D103^1.4655,FALSE)))))</f>
        <v>0</v>
      </c>
      <c r="C99" s="8" t="b">
        <f>IF('DATA INPUT'!B103="T. ser",0.3356*'DATA INPUT'!E103^0.9984,IF('DATA INPUT'!B103="S. mel",24.906*'DATA INPUT'!E103^4.7681/1000,IF('DATA INPUT'!B103="V. ref",118.45*'DATA INPUT'!E103^3.5959/1000,IF('DATA INPUT'!B103=1,55.075*'DATA INPUT'!E103^4.0991/1000,IF('DATA INPUT'!B103=2,0.3356*'DATA INPUT'!E103^0.9984,FALSE)))))</f>
        <v>0</v>
      </c>
      <c r="D99" s="18" t="b">
        <f>IF('DATA INPUT'!B103="T. ser",0.0615*('DATA INPUT'!F103*'DATA INPUT'!G103)^0.9573,IF('DATA INPUT'!B103="S. mel",46.162*('DATA INPUT'!F103*'DATA INPUT'!G103)^2.3652/1000,IF('DATA INPUT'!B103="V. ref",90.34*('DATA INPUT'!F103*'DATA INPUT'!G103)^1.9756/1000,IF('DATA INPUT'!B103=1,63.022*('DATA INPUT'!F103*'DATA INPUT'!G103)^2.1551/1000,IF('DATA INPUT'!B103=2,0.0615*('DATA INPUT'!F103*'DATA INPUT'!G103)^0.9573,FALSE)))))</f>
        <v>0</v>
      </c>
      <c r="E99" s="8" t="b">
        <f>IF('DATA INPUT'!B103="T. ser",5.0562*('DATA INPUT'!H103*'DATA INPUT'!I103)^0.9574,IF('DATA INPUT'!B103="S. mel",44047*('DATA INPUT'!H103*'DATA INPUT'!I103)^1.5456/1000,IF('DATA INPUT'!B103="V. ref",91930*('DATA INPUT'!H103*'DATA INPUT'!I103)^1.7774/1000,IF('DATA INPUT'!B103=1,62601*('DATA INPUT'!H103*'DATA INPUT'!I103)^1.6463/1000,IF('DATA INPUT'!B103=2,5.0562*('DATA INPUT'!H103*'DATA INPUT'!I103)^0.9574,FALSE)))))</f>
        <v>0</v>
      </c>
      <c r="F99" s="18" t="b">
        <f>IF('DATA INPUT'!B103="T. ser",0.0009*I99^0.4477,IF('DATA INPUT'!B103="S. mel",0.0000004*I99^1.4912/1000,IF('DATA INPUT'!B103="V. ref",0.00000005*I99^1.6284/1000,IF('DATA INPUT'!B103=1,0.0000007*I99^1.4601/1000,IF('DATA INPUT'!B103=2,0.0009*I99^0.4477,FALSE)))))</f>
        <v>0</v>
      </c>
      <c r="G99" s="57">
        <f t="shared" si="10"/>
        <v>0</v>
      </c>
      <c r="H99" s="57"/>
      <c r="I99" s="2" t="b">
        <f>IF('DATA INPUT'!B103="T. ser",3.142*'DATA INPUT'!N103^2*'DATA INPUT'!O103/3+3.142*'DATA INPUT'!P103^2/3*(3*'DATA INPUT'!N103-'DATA INPUT'!P103),IF('DATA INPUT'!B103="S. mel",3.142*'DATA INPUT'!N103^2*'DATA INPUT'!O103/3+3.142*'DATA INPUT'!P103^2/3*(3*'DATA INPUT'!N103-'DATA INPUT'!P103),IF('DATA INPUT'!B103="V. ref",3.142*'DATA INPUT'!N103^2*'DATA INPUT'!O103/3+3.142*'DATA INPUT'!P103^2/3*(3*'DATA INPUT'!N103-'DATA INPUT'!P103),IF('DATA INPUT'!B103=1,3.142*'DATA INPUT'!N103^2*'DATA INPUT'!O103/3+3.142*'DATA INPUT'!P103^2/3*(3*'DATA INPUT'!N103-'DATA INPUT'!P103),IF('DATA INPUT'!B103=2,3.142*'DATA INPUT'!N103^2*'DATA INPUT'!O103/3+3.142*'DATA INPUT'!P103^2/3*(3*'DATA INPUT'!N103-'DATA INPUT'!P103),FALSE)))))</f>
        <v>0</v>
      </c>
      <c r="J99" s="2" t="b">
        <f>IF('DATA INPUT'!B103="T. ser",0.0458*CALCULATIONS!I99^0.6841,IF('DATA INPUT'!B103="S. mel",0.6047*CALCULATIONS!I99^0.6433,IF('DATA INPUT'!B103="V. ref",0.77086*CALCULATIONS!I99^0.4936,IF('DATA INPUT'!B103=1,0.68778*CALCULATIONS!I99^0.56845,IF('DATA INPUT'!B103=2,0.0458*CALCULATIONS!I99^0.6841,FALSE)))))</f>
        <v>0</v>
      </c>
      <c r="K99" s="3">
        <f t="shared" si="8"/>
        <v>0</v>
      </c>
      <c r="L99" s="3" t="b">
        <f>IF('DATA INPUT'!B103="T. ser",('DATA INPUT'!D103+'DATA INPUT'!F103+'DATA INPUT'!H103+'DATA INPUT'!J103)/1.5,IF('DATA INPUT'!B103="V. ref",('DATA INPUT'!D103+'DATA INPUT'!F103+'DATA INPUT'!H103+'DATA INPUT'!J103)/1.5,IF('DATA INPUT'!B103="S. mel",('DATA INPUT'!D103+'DATA INPUT'!F103+'DATA INPUT'!H103+'DATA INPUT'!J103)/1.5,IF('DATA INPUT'!B103=1,('DATA INPUT'!D103+'DATA INPUT'!F103+'DATA INPUT'!H103+'DATA INPUT'!J103)/1.5,IF('DATA INPUT'!B103=2,('DATA INPUT'!D103+'DATA INPUT'!F103+'DATA INPUT'!H103+'DATA INPUT'!J103)/1.5,FALSE)))))</f>
        <v>0</v>
      </c>
      <c r="N99" s="16">
        <f>'DATA INPUT'!C103</f>
        <v>0</v>
      </c>
      <c r="O99" s="3" t="b">
        <f>IF('DATA INPUT'!B103="T. ser",0.3446*'DATA INPUT'!D103^1.0619,IF('DATA INPUT'!B103="S. mel",(1270.6*'DATA INPUT'!D103^2.0933)/1000,IF('DATA INPUT'!B103="V. ref",(816.25*'DATA INPUT'!D103^2.1754)/1000,IF('DATA INPUT'!B103=1,(1492.4*'DATA INPUT'!D103^1.7591)/1000,IF('DATA INPUT'!B103=2,0.3446*'DATA INPUT'!D103^1.0619,FALSE)))))</f>
        <v>0</v>
      </c>
      <c r="P99" s="3" t="b">
        <f>IF('DATA INPUT'!B103="T. ser",0.3662*'DATA INPUT'!E103^1.5061,IF('DATA INPUT'!B103="S. mel",(748.47*'DATA INPUT'!E103^2.2691)/1000,IF('DATA INPUT'!B103="V. ref",(953.69*'DATA INPUT'!E103^1.9524)/1000,IF('DATA INPUT'!B103=1,(695.02*'DATA INPUT'!E103^2.3452)/1000,IF('DATA INPUT'!B103=2,0.3662*'DATA INPUT'!E103^1.5061,FALSE)))))</f>
        <v>0</v>
      </c>
      <c r="Q99" s="3" t="b">
        <f>IF('DATA INPUT'!B103="T. ser",0.1225*('DATA INPUT'!F103*'DATA INPUT'!G103)^0.8272,IF('DATA INPUT'!B103="S. mel",(925.08*('DATA INPUT'!F103*'DATA INPUT'!G103)^1.1603)/1000,IF('DATA INPUT'!B103="V. ref",(776.29*('DATA INPUT'!F103*'DATA INPUT'!G103)^1.1226)/1000,IF('DATA INPUT'!B103=1,(884.6*('DATA INPUT'!F103*'DATA INPUT'!G103)^1.129)/1000,IF('DATA INPUT'!B103=2,0.1225*('DATA INPUT'!F103*'DATA INPUT'!G103)^0.8272,FALSE)))))</f>
        <v>0</v>
      </c>
      <c r="R99" s="3" t="b">
        <f>IF('DATA INPUT'!B103="T. ser",5.5287*('DATA INPUT'!H103*'DATA INPUT'!I103)^0.8272,IF('DATA INPUT'!B103="S. mel",(31469*('DATA INPUT'!H103*'DATA INPUT'!I103)^0.8608)/1000,IF('DATA INPUT'!B103="V. ref",(39394*('DATA INPUT'!H103*'DATA INPUT'!I103)^1.005)/1000,IF('DATA INPUT'!B103=1,(31791*('DATA INPUT'!H103*'DATA INPUT'!I103)^0.8467)/1000,IF('DATA INPUT'!B103=2,5.5287*('DATA INPUT'!H103*'DATA INPUT'!I103)^0.8272,FALSE)))))</f>
        <v>0</v>
      </c>
      <c r="S99" s="3" t="b">
        <f>IF('DATA INPUT'!B103="T. ser",0.0005*I99^0.5148,IF('DATA INPUT'!B103="S. mel",0.051*I99^0.7789/1000,IF('DATA INPUT'!B103="V. ref",0.0958*I99^0.7253/1000,IF('DATA INPUT'!B103=1,0.0426*I99^0.786/1000,IF('DATA INPUT'!B103=2,0.0005*I99^0.5148,FALSE)))))</f>
        <v>0</v>
      </c>
      <c r="T99" s="59">
        <f t="shared" si="9"/>
        <v>0</v>
      </c>
    </row>
    <row r="100" spans="1:20" x14ac:dyDescent="0.2">
      <c r="A100" s="218">
        <f>'DATA INPUT'!C104</f>
        <v>0</v>
      </c>
      <c r="B100" s="11" t="b">
        <f>IF('DATA INPUT'!B104="T. ser",0.1656*'DATA INPUT'!D104^1.4655,IF('DATA INPUT'!B104="S. mel",135.53*'DATA INPUT'!D104^3.8701/1000,IF('DATA INPUT'!B104="V. ref",143.01*'DATA INPUT'!D104^3.3147/1000,IF('DATA INPUT'!B104=1,143.35*'DATA INPUT'!D104^3.6046/1000,IF('DATA INPUT'!B104=2,0.1656*'DATA INPUT'!D104^1.4655,FALSE)))))</f>
        <v>0</v>
      </c>
      <c r="C100" s="8" t="b">
        <f>IF('DATA INPUT'!B104="T. ser",0.3356*'DATA INPUT'!E104^0.9984,IF('DATA INPUT'!B104="S. mel",24.906*'DATA INPUT'!E104^4.7681/1000,IF('DATA INPUT'!B104="V. ref",118.45*'DATA INPUT'!E104^3.5959/1000,IF('DATA INPUT'!B104=1,55.075*'DATA INPUT'!E104^4.0991/1000,IF('DATA INPUT'!B104=2,0.3356*'DATA INPUT'!E104^0.9984,FALSE)))))</f>
        <v>0</v>
      </c>
      <c r="D100" s="18" t="b">
        <f>IF('DATA INPUT'!B104="T. ser",0.0615*('DATA INPUT'!F104*'DATA INPUT'!G104)^0.9573,IF('DATA INPUT'!B104="S. mel",46.162*('DATA INPUT'!F104*'DATA INPUT'!G104)^2.3652/1000,IF('DATA INPUT'!B104="V. ref",90.34*('DATA INPUT'!F104*'DATA INPUT'!G104)^1.9756/1000,IF('DATA INPUT'!B104=1,63.022*('DATA INPUT'!F104*'DATA INPUT'!G104)^2.1551/1000,IF('DATA INPUT'!B104=2,0.0615*('DATA INPUT'!F104*'DATA INPUT'!G104)^0.9573,FALSE)))))</f>
        <v>0</v>
      </c>
      <c r="E100" s="8" t="b">
        <f>IF('DATA INPUT'!B104="T. ser",5.0562*('DATA INPUT'!H104*'DATA INPUT'!I104)^0.9574,IF('DATA INPUT'!B104="S. mel",44047*('DATA INPUT'!H104*'DATA INPUT'!I104)^1.5456/1000,IF('DATA INPUT'!B104="V. ref",91930*('DATA INPUT'!H104*'DATA INPUT'!I104)^1.7774/1000,IF('DATA INPUT'!B104=1,62601*('DATA INPUT'!H104*'DATA INPUT'!I104)^1.6463/1000,IF('DATA INPUT'!B104=2,5.0562*('DATA INPUT'!H104*'DATA INPUT'!I104)^0.9574,FALSE)))))</f>
        <v>0</v>
      </c>
      <c r="F100" s="18" t="b">
        <f>IF('DATA INPUT'!B104="T. ser",0.0009*I100^0.4477,IF('DATA INPUT'!B104="S. mel",0.0000004*I100^1.4912/1000,IF('DATA INPUT'!B104="V. ref",0.00000005*I100^1.6284/1000,IF('DATA INPUT'!B104=1,0.0000007*I100^1.4601/1000,IF('DATA INPUT'!B104=2,0.0009*I100^0.4477,FALSE)))))</f>
        <v>0</v>
      </c>
      <c r="G100" s="57">
        <f t="shared" si="10"/>
        <v>0</v>
      </c>
      <c r="H100" s="57"/>
      <c r="I100" s="2" t="b">
        <f>IF('DATA INPUT'!B104="T. ser",3.142*'DATA INPUT'!N104^2*'DATA INPUT'!O104/3+3.142*'DATA INPUT'!P104^2/3*(3*'DATA INPUT'!N104-'DATA INPUT'!P104),IF('DATA INPUT'!B104="S. mel",3.142*'DATA INPUT'!N104^2*'DATA INPUT'!O104/3+3.142*'DATA INPUT'!P104^2/3*(3*'DATA INPUT'!N104-'DATA INPUT'!P104),IF('DATA INPUT'!B104="V. ref",3.142*'DATA INPUT'!N104^2*'DATA INPUT'!O104/3+3.142*'DATA INPUT'!P104^2/3*(3*'DATA INPUT'!N104-'DATA INPUT'!P104),IF('DATA INPUT'!B104=1,3.142*'DATA INPUT'!N104^2*'DATA INPUT'!O104/3+3.142*'DATA INPUT'!P104^2/3*(3*'DATA INPUT'!N104-'DATA INPUT'!P104),IF('DATA INPUT'!B104=2,3.142*'DATA INPUT'!N104^2*'DATA INPUT'!O104/3+3.142*'DATA INPUT'!P104^2/3*(3*'DATA INPUT'!N104-'DATA INPUT'!P104),FALSE)))))</f>
        <v>0</v>
      </c>
      <c r="J100" s="2" t="b">
        <f>IF('DATA INPUT'!B104="T. ser",0.0458*CALCULATIONS!I100^0.6841,IF('DATA INPUT'!B104="S. mel",0.6047*CALCULATIONS!I100^0.6433,IF('DATA INPUT'!B104="V. ref",0.77086*CALCULATIONS!I100^0.4936,IF('DATA INPUT'!B104=1,0.68778*CALCULATIONS!I100^0.56845,IF('DATA INPUT'!B104=2,0.0458*CALCULATIONS!I100^0.6841,FALSE)))))</f>
        <v>0</v>
      </c>
      <c r="K100" s="3">
        <f t="shared" si="8"/>
        <v>0</v>
      </c>
      <c r="L100" s="3" t="b">
        <f>IF('DATA INPUT'!B104="T. ser",('DATA INPUT'!D104+'DATA INPUT'!F104+'DATA INPUT'!H104+'DATA INPUT'!J104)/1.5,IF('DATA INPUT'!B104="V. ref",('DATA INPUT'!D104+'DATA INPUT'!F104+'DATA INPUT'!H104+'DATA INPUT'!J104)/1.5,IF('DATA INPUT'!B104="S. mel",('DATA INPUT'!D104+'DATA INPUT'!F104+'DATA INPUT'!H104+'DATA INPUT'!J104)/1.5,IF('DATA INPUT'!B104=1,('DATA INPUT'!D104+'DATA INPUT'!F104+'DATA INPUT'!H104+'DATA INPUT'!J104)/1.5,IF('DATA INPUT'!B104=2,('DATA INPUT'!D104+'DATA INPUT'!F104+'DATA INPUT'!H104+'DATA INPUT'!J104)/1.5,FALSE)))))</f>
        <v>0</v>
      </c>
      <c r="N100" s="16">
        <f>'DATA INPUT'!C104</f>
        <v>0</v>
      </c>
      <c r="O100" s="3" t="b">
        <f>IF('DATA INPUT'!B104="T. ser",0.3446*'DATA INPUT'!D104^1.0619,IF('DATA INPUT'!B104="S. mel",(1270.6*'DATA INPUT'!D104^2.0933)/1000,IF('DATA INPUT'!B104="V. ref",(816.25*'DATA INPUT'!D104^2.1754)/1000,IF('DATA INPUT'!B104=1,(1492.4*'DATA INPUT'!D104^1.7591)/1000,IF('DATA INPUT'!B104=2,0.3446*'DATA INPUT'!D104^1.0619,FALSE)))))</f>
        <v>0</v>
      </c>
      <c r="P100" s="3" t="b">
        <f>IF('DATA INPUT'!B104="T. ser",0.3662*'DATA INPUT'!E104^1.5061,IF('DATA INPUT'!B104="S. mel",(748.47*'DATA INPUT'!E104^2.2691)/1000,IF('DATA INPUT'!B104="V. ref",(953.69*'DATA INPUT'!E104^1.9524)/1000,IF('DATA INPUT'!B104=1,(695.02*'DATA INPUT'!E104^2.3452)/1000,IF('DATA INPUT'!B104=2,0.3662*'DATA INPUT'!E104^1.5061,FALSE)))))</f>
        <v>0</v>
      </c>
      <c r="Q100" s="3" t="b">
        <f>IF('DATA INPUT'!B104="T. ser",0.1225*('DATA INPUT'!F104*'DATA INPUT'!G104)^0.8272,IF('DATA INPUT'!B104="S. mel",(925.08*('DATA INPUT'!F104*'DATA INPUT'!G104)^1.1603)/1000,IF('DATA INPUT'!B104="V. ref",(776.29*('DATA INPUT'!F104*'DATA INPUT'!G104)^1.1226)/1000,IF('DATA INPUT'!B104=1,(884.6*('DATA INPUT'!F104*'DATA INPUT'!G104)^1.129)/1000,IF('DATA INPUT'!B104=2,0.1225*('DATA INPUT'!F104*'DATA INPUT'!G104)^0.8272,FALSE)))))</f>
        <v>0</v>
      </c>
      <c r="R100" s="3" t="b">
        <f>IF('DATA INPUT'!B104="T. ser",5.5287*('DATA INPUT'!H104*'DATA INPUT'!I104)^0.8272,IF('DATA INPUT'!B104="S. mel",(31469*('DATA INPUT'!H104*'DATA INPUT'!I104)^0.8608)/1000,IF('DATA INPUT'!B104="V. ref",(39394*('DATA INPUT'!H104*'DATA INPUT'!I104)^1.005)/1000,IF('DATA INPUT'!B104=1,(31791*('DATA INPUT'!H104*'DATA INPUT'!I104)^0.8467)/1000,IF('DATA INPUT'!B104=2,5.5287*('DATA INPUT'!H104*'DATA INPUT'!I104)^0.8272,FALSE)))))</f>
        <v>0</v>
      </c>
      <c r="S100" s="3" t="b">
        <f>IF('DATA INPUT'!B104="T. ser",0.0005*I100^0.5148,IF('DATA INPUT'!B104="S. mel",0.051*I100^0.7789/1000,IF('DATA INPUT'!B104="V. ref",0.0958*I100^0.7253/1000,IF('DATA INPUT'!B104=1,0.0426*I100^0.786/1000,IF('DATA INPUT'!B104=2,0.0005*I100^0.5148,FALSE)))))</f>
        <v>0</v>
      </c>
      <c r="T100" s="59">
        <f t="shared" si="9"/>
        <v>0</v>
      </c>
    </row>
    <row r="101" spans="1:20" x14ac:dyDescent="0.2">
      <c r="A101" s="218">
        <f>'DATA INPUT'!C105</f>
        <v>0</v>
      </c>
      <c r="B101" s="11" t="b">
        <f>IF('DATA INPUT'!B105="T. ser",0.1656*'DATA INPUT'!D105^1.4655,IF('DATA INPUT'!B105="S. mel",135.53*'DATA INPUT'!D105^3.8701/1000,IF('DATA INPUT'!B105="V. ref",143.01*'DATA INPUT'!D105^3.3147/1000,IF('DATA INPUT'!B105=1,143.35*'DATA INPUT'!D105^3.6046/1000,IF('DATA INPUT'!B105=2,0.1656*'DATA INPUT'!D105^1.4655,FALSE)))))</f>
        <v>0</v>
      </c>
      <c r="C101" s="8" t="b">
        <f>IF('DATA INPUT'!B105="T. ser",0.3356*'DATA INPUT'!E105^0.9984,IF('DATA INPUT'!B105="S. mel",24.906*'DATA INPUT'!E105^4.7681/1000,IF('DATA INPUT'!B105="V. ref",118.45*'DATA INPUT'!E105^3.5959/1000,IF('DATA INPUT'!B105=1,55.075*'DATA INPUT'!E105^4.0991/1000,IF('DATA INPUT'!B105=2,0.3356*'DATA INPUT'!E105^0.9984,FALSE)))))</f>
        <v>0</v>
      </c>
      <c r="D101" s="18" t="b">
        <f>IF('DATA INPUT'!B105="T. ser",0.0615*('DATA INPUT'!F105*'DATA INPUT'!G105)^0.9573,IF('DATA INPUT'!B105="S. mel",46.162*('DATA INPUT'!F105*'DATA INPUT'!G105)^2.3652/1000,IF('DATA INPUT'!B105="V. ref",90.34*('DATA INPUT'!F105*'DATA INPUT'!G105)^1.9756/1000,IF('DATA INPUT'!B105=1,63.022*('DATA INPUT'!F105*'DATA INPUT'!G105)^2.1551/1000,IF('DATA INPUT'!B105=2,0.0615*('DATA INPUT'!F105*'DATA INPUT'!G105)^0.9573,FALSE)))))</f>
        <v>0</v>
      </c>
      <c r="E101" s="8" t="b">
        <f>IF('DATA INPUT'!B105="T. ser",5.0562*('DATA INPUT'!H105*'DATA INPUT'!I105)^0.9574,IF('DATA INPUT'!B105="S. mel",44047*('DATA INPUT'!H105*'DATA INPUT'!I105)^1.5456/1000,IF('DATA INPUT'!B105="V. ref",91930*('DATA INPUT'!H105*'DATA INPUT'!I105)^1.7774/1000,IF('DATA INPUT'!B105=1,62601*('DATA INPUT'!H105*'DATA INPUT'!I105)^1.6463/1000,IF('DATA INPUT'!B105=2,5.0562*('DATA INPUT'!H105*'DATA INPUT'!I105)^0.9574,FALSE)))))</f>
        <v>0</v>
      </c>
      <c r="F101" s="18" t="b">
        <f>IF('DATA INPUT'!B105="T. ser",0.0009*I101^0.4477,IF('DATA INPUT'!B105="S. mel",0.0000004*I101^1.4912/1000,IF('DATA INPUT'!B105="V. ref",0.00000005*I101^1.6284/1000,IF('DATA INPUT'!B105=1,0.0000007*I101^1.4601/1000,IF('DATA INPUT'!B105=2,0.0009*I101^0.4477,FALSE)))))</f>
        <v>0</v>
      </c>
      <c r="G101" s="57">
        <f t="shared" si="10"/>
        <v>0</v>
      </c>
      <c r="H101" s="57"/>
      <c r="I101" s="2" t="b">
        <f>IF('DATA INPUT'!B105="T. ser",3.142*'DATA INPUT'!N105^2*'DATA INPUT'!O105/3+3.142*'DATA INPUT'!P105^2/3*(3*'DATA INPUT'!N105-'DATA INPUT'!P105),IF('DATA INPUT'!B105="S. mel",3.142*'DATA INPUT'!N105^2*'DATA INPUT'!O105/3+3.142*'DATA INPUT'!P105^2/3*(3*'DATA INPUT'!N105-'DATA INPUT'!P105),IF('DATA INPUT'!B105="V. ref",3.142*'DATA INPUT'!N105^2*'DATA INPUT'!O105/3+3.142*'DATA INPUT'!P105^2/3*(3*'DATA INPUT'!N105-'DATA INPUT'!P105),IF('DATA INPUT'!B105=1,3.142*'DATA INPUT'!N105^2*'DATA INPUT'!O105/3+3.142*'DATA INPUT'!P105^2/3*(3*'DATA INPUT'!N105-'DATA INPUT'!P105),IF('DATA INPUT'!B105=2,3.142*'DATA INPUT'!N105^2*'DATA INPUT'!O105/3+3.142*'DATA INPUT'!P105^2/3*(3*'DATA INPUT'!N105-'DATA INPUT'!P105),FALSE)))))</f>
        <v>0</v>
      </c>
      <c r="J101" s="2" t="b">
        <f>IF('DATA INPUT'!B105="T. ser",0.0458*CALCULATIONS!I101^0.6841,IF('DATA INPUT'!B105="S. mel",0.6047*CALCULATIONS!I101^0.6433,IF('DATA INPUT'!B105="V. ref",0.77086*CALCULATIONS!I101^0.4936,IF('DATA INPUT'!B105=1,0.68778*CALCULATIONS!I101^0.56845,IF('DATA INPUT'!B105=2,0.0458*CALCULATIONS!I101^0.6841,FALSE)))))</f>
        <v>0</v>
      </c>
      <c r="K101" s="3">
        <f t="shared" si="8"/>
        <v>0</v>
      </c>
      <c r="L101" s="3" t="b">
        <f>IF('DATA INPUT'!B105="T. ser",('DATA INPUT'!D105+'DATA INPUT'!F105+'DATA INPUT'!H105+'DATA INPUT'!J105)/1.5,IF('DATA INPUT'!B105="V. ref",('DATA INPUT'!D105+'DATA INPUT'!F105+'DATA INPUT'!H105+'DATA INPUT'!J105)/1.5,IF('DATA INPUT'!B105="S. mel",('DATA INPUT'!D105+'DATA INPUT'!F105+'DATA INPUT'!H105+'DATA INPUT'!J105)/1.5,IF('DATA INPUT'!B105=1,('DATA INPUT'!D105+'DATA INPUT'!F105+'DATA INPUT'!H105+'DATA INPUT'!J105)/1.5,IF('DATA INPUT'!B105=2,('DATA INPUT'!D105+'DATA INPUT'!F105+'DATA INPUT'!H105+'DATA INPUT'!J105)/1.5,FALSE)))))</f>
        <v>0</v>
      </c>
      <c r="N101" s="16">
        <f>'DATA INPUT'!C105</f>
        <v>0</v>
      </c>
      <c r="O101" s="3" t="b">
        <f>IF('DATA INPUT'!B105="T. ser",0.3446*'DATA INPUT'!D105^1.0619,IF('DATA INPUT'!B105="S. mel",(1270.6*'DATA INPUT'!D105^2.0933)/1000,IF('DATA INPUT'!B105="V. ref",(816.25*'DATA INPUT'!D105^2.1754)/1000,IF('DATA INPUT'!B105=1,(1492.4*'DATA INPUT'!D105^1.7591)/1000,IF('DATA INPUT'!B105=2,0.3446*'DATA INPUT'!D105^1.0619,FALSE)))))</f>
        <v>0</v>
      </c>
      <c r="P101" s="3" t="b">
        <f>IF('DATA INPUT'!B105="T. ser",0.3662*'DATA INPUT'!E105^1.5061,IF('DATA INPUT'!B105="S. mel",(748.47*'DATA INPUT'!E105^2.2691)/1000,IF('DATA INPUT'!B105="V. ref",(953.69*'DATA INPUT'!E105^1.9524)/1000,IF('DATA INPUT'!B105=1,(695.02*'DATA INPUT'!E105^2.3452)/1000,IF('DATA INPUT'!B105=2,0.3662*'DATA INPUT'!E105^1.5061,FALSE)))))</f>
        <v>0</v>
      </c>
      <c r="Q101" s="3" t="b">
        <f>IF('DATA INPUT'!B105="T. ser",0.1225*('DATA INPUT'!F105*'DATA INPUT'!G105)^0.8272,IF('DATA INPUT'!B105="S. mel",(925.08*('DATA INPUT'!F105*'DATA INPUT'!G105)^1.1603)/1000,IF('DATA INPUT'!B105="V. ref",(776.29*('DATA INPUT'!F105*'DATA INPUT'!G105)^1.1226)/1000,IF('DATA INPUT'!B105=1,(884.6*('DATA INPUT'!F105*'DATA INPUT'!G105)^1.129)/1000,IF('DATA INPUT'!B105=2,0.1225*('DATA INPUT'!F105*'DATA INPUT'!G105)^0.8272,FALSE)))))</f>
        <v>0</v>
      </c>
      <c r="R101" s="3" t="b">
        <f>IF('DATA INPUT'!B105="T. ser",5.5287*('DATA INPUT'!H105*'DATA INPUT'!I105)^0.8272,IF('DATA INPUT'!B105="S. mel",(31469*('DATA INPUT'!H105*'DATA INPUT'!I105)^0.8608)/1000,IF('DATA INPUT'!B105="V. ref",(39394*('DATA INPUT'!H105*'DATA INPUT'!I105)^1.005)/1000,IF('DATA INPUT'!B105=1,(31791*('DATA INPUT'!H105*'DATA INPUT'!I105)^0.8467)/1000,IF('DATA INPUT'!B105=2,5.5287*('DATA INPUT'!H105*'DATA INPUT'!I105)^0.8272,FALSE)))))</f>
        <v>0</v>
      </c>
      <c r="S101" s="3" t="b">
        <f>IF('DATA INPUT'!B105="T. ser",0.0005*I101^0.5148,IF('DATA INPUT'!B105="S. mel",0.051*I101^0.7789/1000,IF('DATA INPUT'!B105="V. ref",0.0958*I101^0.7253/1000,IF('DATA INPUT'!B105=1,0.0426*I101^0.786/1000,IF('DATA INPUT'!B105=2,0.0005*I101^0.5148,FALSE)))))</f>
        <v>0</v>
      </c>
      <c r="T101" s="59">
        <f t="shared" si="9"/>
        <v>0</v>
      </c>
    </row>
    <row r="102" spans="1:20" x14ac:dyDescent="0.2">
      <c r="A102" s="218">
        <f>'DATA INPUT'!C106</f>
        <v>0</v>
      </c>
      <c r="B102" s="11" t="b">
        <f>IF('DATA INPUT'!B106="T. ser",0.1656*'DATA INPUT'!D106^1.4655,IF('DATA INPUT'!B106="S. mel",135.53*'DATA INPUT'!D106^3.8701/1000,IF('DATA INPUT'!B106="V. ref",143.01*'DATA INPUT'!D106^3.3147/1000,IF('DATA INPUT'!B106=1,143.35*'DATA INPUT'!D106^3.6046/1000,IF('DATA INPUT'!B106=2,0.1656*'DATA INPUT'!D106^1.4655,FALSE)))))</f>
        <v>0</v>
      </c>
      <c r="C102" s="8" t="b">
        <f>IF('DATA INPUT'!B106="T. ser",0.3356*'DATA INPUT'!E106^0.9984,IF('DATA INPUT'!B106="S. mel",24.906*'DATA INPUT'!E106^4.7681/1000,IF('DATA INPUT'!B106="V. ref",118.45*'DATA INPUT'!E106^3.5959/1000,IF('DATA INPUT'!B106=1,55.075*'DATA INPUT'!E106^4.0991/1000,IF('DATA INPUT'!B106=2,0.3356*'DATA INPUT'!E106^0.9984,FALSE)))))</f>
        <v>0</v>
      </c>
      <c r="D102" s="18" t="b">
        <f>IF('DATA INPUT'!B106="T. ser",0.0615*('DATA INPUT'!F106*'DATA INPUT'!G106)^0.9573,IF('DATA INPUT'!B106="S. mel",46.162*('DATA INPUT'!F106*'DATA INPUT'!G106)^2.3652/1000,IF('DATA INPUT'!B106="V. ref",90.34*('DATA INPUT'!F106*'DATA INPUT'!G106)^1.9756/1000,IF('DATA INPUT'!B106=1,63.022*('DATA INPUT'!F106*'DATA INPUT'!G106)^2.1551/1000,IF('DATA INPUT'!B106=2,0.0615*('DATA INPUT'!F106*'DATA INPUT'!G106)^0.9573,FALSE)))))</f>
        <v>0</v>
      </c>
      <c r="E102" s="8" t="b">
        <f>IF('DATA INPUT'!B106="T. ser",5.0562*('DATA INPUT'!H106*'DATA INPUT'!I106)^0.9574,IF('DATA INPUT'!B106="S. mel",44047*('DATA INPUT'!H106*'DATA INPUT'!I106)^1.5456/1000,IF('DATA INPUT'!B106="V. ref",91930*('DATA INPUT'!H106*'DATA INPUT'!I106)^1.7774/1000,IF('DATA INPUT'!B106=1,62601*('DATA INPUT'!H106*'DATA INPUT'!I106)^1.6463/1000,IF('DATA INPUT'!B106=2,5.0562*('DATA INPUT'!H106*'DATA INPUT'!I106)^0.9574,FALSE)))))</f>
        <v>0</v>
      </c>
      <c r="F102" s="18" t="b">
        <f>IF('DATA INPUT'!B106="T. ser",0.0009*I102^0.4477,IF('DATA INPUT'!B106="S. mel",0.0000004*I102^1.4912/1000,IF('DATA INPUT'!B106="V. ref",0.00000005*I102^1.6284/1000,IF('DATA INPUT'!B106=1,0.0000007*I102^1.4601/1000,IF('DATA INPUT'!B106=2,0.0009*I102^0.4477,FALSE)))))</f>
        <v>0</v>
      </c>
      <c r="G102" s="57">
        <f t="shared" si="10"/>
        <v>0</v>
      </c>
      <c r="H102" s="57"/>
      <c r="I102" s="2" t="b">
        <f>IF('DATA INPUT'!B106="T. ser",3.142*'DATA INPUT'!N106^2*'DATA INPUT'!O106/3+3.142*'DATA INPUT'!P106^2/3*(3*'DATA INPUT'!N106-'DATA INPUT'!P106),IF('DATA INPUT'!B106="S. mel",3.142*'DATA INPUT'!N106^2*'DATA INPUT'!O106/3+3.142*'DATA INPUT'!P106^2/3*(3*'DATA INPUT'!N106-'DATA INPUT'!P106),IF('DATA INPUT'!B106="V. ref",3.142*'DATA INPUT'!N106^2*'DATA INPUT'!O106/3+3.142*'DATA INPUT'!P106^2/3*(3*'DATA INPUT'!N106-'DATA INPUT'!P106),IF('DATA INPUT'!B106=1,3.142*'DATA INPUT'!N106^2*'DATA INPUT'!O106/3+3.142*'DATA INPUT'!P106^2/3*(3*'DATA INPUT'!N106-'DATA INPUT'!P106),IF('DATA INPUT'!B106=2,3.142*'DATA INPUT'!N106^2*'DATA INPUT'!O106/3+3.142*'DATA INPUT'!P106^2/3*(3*'DATA INPUT'!N106-'DATA INPUT'!P106),FALSE)))))</f>
        <v>0</v>
      </c>
      <c r="J102" s="2" t="b">
        <f>IF('DATA INPUT'!B106="T. ser",0.0458*CALCULATIONS!I102^0.6841,IF('DATA INPUT'!B106="S. mel",0.6047*CALCULATIONS!I102^0.6433,IF('DATA INPUT'!B106="V. ref",0.77086*CALCULATIONS!I102^0.4936,IF('DATA INPUT'!B106=1,0.68778*CALCULATIONS!I102^0.56845,IF('DATA INPUT'!B106=2,0.0458*CALCULATIONS!I102^0.6841,FALSE)))))</f>
        <v>0</v>
      </c>
      <c r="K102" s="3">
        <f t="shared" si="8"/>
        <v>0</v>
      </c>
      <c r="L102" s="3" t="b">
        <f>IF('DATA INPUT'!B106="T. ser",('DATA INPUT'!D106+'DATA INPUT'!F106+'DATA INPUT'!H106+'DATA INPUT'!J106)/1.5,IF('DATA INPUT'!B106="V. ref",('DATA INPUT'!D106+'DATA INPUT'!F106+'DATA INPUT'!H106+'DATA INPUT'!J106)/1.5,IF('DATA INPUT'!B106="S. mel",('DATA INPUT'!D106+'DATA INPUT'!F106+'DATA INPUT'!H106+'DATA INPUT'!J106)/1.5,IF('DATA INPUT'!B106=1,('DATA INPUT'!D106+'DATA INPUT'!F106+'DATA INPUT'!H106+'DATA INPUT'!J106)/1.5,IF('DATA INPUT'!B106=2,('DATA INPUT'!D106+'DATA INPUT'!F106+'DATA INPUT'!H106+'DATA INPUT'!J106)/1.5,FALSE)))))</f>
        <v>0</v>
      </c>
      <c r="N102" s="16">
        <f>'DATA INPUT'!C106</f>
        <v>0</v>
      </c>
      <c r="O102" s="3" t="b">
        <f>IF('DATA INPUT'!B106="T. ser",0.3446*'DATA INPUT'!D106^1.0619,IF('DATA INPUT'!B106="S. mel",(1270.6*'DATA INPUT'!D106^2.0933)/1000,IF('DATA INPUT'!B106="V. ref",(816.25*'DATA INPUT'!D106^2.1754)/1000,IF('DATA INPUT'!B106=1,(1492.4*'DATA INPUT'!D106^1.7591)/1000,IF('DATA INPUT'!B106=2,0.3446*'DATA INPUT'!D106^1.0619,FALSE)))))</f>
        <v>0</v>
      </c>
      <c r="P102" s="3" t="b">
        <f>IF('DATA INPUT'!B106="T. ser",0.3662*'DATA INPUT'!E106^1.5061,IF('DATA INPUT'!B106="S. mel",(748.47*'DATA INPUT'!E106^2.2691)/1000,IF('DATA INPUT'!B106="V. ref",(953.69*'DATA INPUT'!E106^1.9524)/1000,IF('DATA INPUT'!B106=1,(695.02*'DATA INPUT'!E106^2.3452)/1000,IF('DATA INPUT'!B106=2,0.3662*'DATA INPUT'!E106^1.5061,FALSE)))))</f>
        <v>0</v>
      </c>
      <c r="Q102" s="3" t="b">
        <f>IF('DATA INPUT'!B106="T. ser",0.1225*('DATA INPUT'!F106*'DATA INPUT'!G106)^0.8272,IF('DATA INPUT'!B106="S. mel",(925.08*('DATA INPUT'!F106*'DATA INPUT'!G106)^1.1603)/1000,IF('DATA INPUT'!B106="V. ref",(776.29*('DATA INPUT'!F106*'DATA INPUT'!G106)^1.1226)/1000,IF('DATA INPUT'!B106=1,(884.6*('DATA INPUT'!F106*'DATA INPUT'!G106)^1.129)/1000,IF('DATA INPUT'!B106=2,0.1225*('DATA INPUT'!F106*'DATA INPUT'!G106)^0.8272,FALSE)))))</f>
        <v>0</v>
      </c>
      <c r="R102" s="3" t="b">
        <f>IF('DATA INPUT'!B106="T. ser",5.5287*('DATA INPUT'!H106*'DATA INPUT'!I106)^0.8272,IF('DATA INPUT'!B106="S. mel",(31469*('DATA INPUT'!H106*'DATA INPUT'!I106)^0.8608)/1000,IF('DATA INPUT'!B106="V. ref",(39394*('DATA INPUT'!H106*'DATA INPUT'!I106)^1.005)/1000,IF('DATA INPUT'!B106=1,(31791*('DATA INPUT'!H106*'DATA INPUT'!I106)^0.8467)/1000,IF('DATA INPUT'!B106=2,5.5287*('DATA INPUT'!H106*'DATA INPUT'!I106)^0.8272,FALSE)))))</f>
        <v>0</v>
      </c>
      <c r="S102" s="3" t="b">
        <f>IF('DATA INPUT'!B106="T. ser",0.0005*I102^0.5148,IF('DATA INPUT'!B106="S. mel",0.051*I102^0.7789/1000,IF('DATA INPUT'!B106="V. ref",0.0958*I102^0.7253/1000,IF('DATA INPUT'!B106=1,0.0426*I102^0.786/1000,IF('DATA INPUT'!B106=2,0.0005*I102^0.5148,FALSE)))))</f>
        <v>0</v>
      </c>
      <c r="T102" s="59">
        <f t="shared" si="9"/>
        <v>0</v>
      </c>
    </row>
    <row r="103" spans="1:20" x14ac:dyDescent="0.2">
      <c r="A103" s="218">
        <f>'DATA INPUT'!C107</f>
        <v>0</v>
      </c>
      <c r="B103" s="11" t="b">
        <f>IF('DATA INPUT'!B107="T. ser",0.1656*'DATA INPUT'!D107^1.4655,IF('DATA INPUT'!B107="S. mel",135.53*'DATA INPUT'!D107^3.8701/1000,IF('DATA INPUT'!B107="V. ref",143.01*'DATA INPUT'!D107^3.3147/1000,IF('DATA INPUT'!B107=1,143.35*'DATA INPUT'!D107^3.6046/1000,IF('DATA INPUT'!B107=2,0.1656*'DATA INPUT'!D107^1.4655,FALSE)))))</f>
        <v>0</v>
      </c>
      <c r="C103" s="8" t="b">
        <f>IF('DATA INPUT'!B107="T. ser",0.3356*'DATA INPUT'!E107^0.9984,IF('DATA INPUT'!B107="S. mel",24.906*'DATA INPUT'!E107^4.7681/1000,IF('DATA INPUT'!B107="V. ref",118.45*'DATA INPUT'!E107^3.5959/1000,IF('DATA INPUT'!B107=1,55.075*'DATA INPUT'!E107^4.0991/1000,IF('DATA INPUT'!B107=2,0.3356*'DATA INPUT'!E107^0.9984,FALSE)))))</f>
        <v>0</v>
      </c>
      <c r="D103" s="18" t="b">
        <f>IF('DATA INPUT'!B107="T. ser",0.0615*('DATA INPUT'!F107*'DATA INPUT'!G107)^0.9573,IF('DATA INPUT'!B107="S. mel",46.162*('DATA INPUT'!F107*'DATA INPUT'!G107)^2.3652/1000,IF('DATA INPUT'!B107="V. ref",90.34*('DATA INPUT'!F107*'DATA INPUT'!G107)^1.9756/1000,IF('DATA INPUT'!B107=1,63.022*('DATA INPUT'!F107*'DATA INPUT'!G107)^2.1551/1000,IF('DATA INPUT'!B107=2,0.0615*('DATA INPUT'!F107*'DATA INPUT'!G107)^0.9573,FALSE)))))</f>
        <v>0</v>
      </c>
      <c r="E103" s="8" t="b">
        <f>IF('DATA INPUT'!B107="T. ser",5.0562*('DATA INPUT'!H107*'DATA INPUT'!I107)^0.9574,IF('DATA INPUT'!B107="S. mel",44047*('DATA INPUT'!H107*'DATA INPUT'!I107)^1.5456/1000,IF('DATA INPUT'!B107="V. ref",91930*('DATA INPUT'!H107*'DATA INPUT'!I107)^1.7774/1000,IF('DATA INPUT'!B107=1,62601*('DATA INPUT'!H107*'DATA INPUT'!I107)^1.6463/1000,IF('DATA INPUT'!B107=2,5.0562*('DATA INPUT'!H107*'DATA INPUT'!I107)^0.9574,FALSE)))))</f>
        <v>0</v>
      </c>
      <c r="F103" s="18" t="b">
        <f>IF('DATA INPUT'!B107="T. ser",0.0009*I103^0.4477,IF('DATA INPUT'!B107="S. mel",0.0000004*I103^1.4912/1000,IF('DATA INPUT'!B107="V. ref",0.00000005*I103^1.6284/1000,IF('DATA INPUT'!B107=1,0.0000007*I103^1.4601/1000,IF('DATA INPUT'!B107=2,0.0009*I103^0.4477,FALSE)))))</f>
        <v>0</v>
      </c>
      <c r="G103" s="57">
        <f t="shared" si="10"/>
        <v>0</v>
      </c>
      <c r="H103" s="57"/>
      <c r="I103" s="2" t="b">
        <f>IF('DATA INPUT'!B107="T. ser",3.142*'DATA INPUT'!N107^2*'DATA INPUT'!O107/3+3.142*'DATA INPUT'!P107^2/3*(3*'DATA INPUT'!N107-'DATA INPUT'!P107),IF('DATA INPUT'!B107="S. mel",3.142*'DATA INPUT'!N107^2*'DATA INPUT'!O107/3+3.142*'DATA INPUT'!P107^2/3*(3*'DATA INPUT'!N107-'DATA INPUT'!P107),IF('DATA INPUT'!B107="V. ref",3.142*'DATA INPUT'!N107^2*'DATA INPUT'!O107/3+3.142*'DATA INPUT'!P107^2/3*(3*'DATA INPUT'!N107-'DATA INPUT'!P107),IF('DATA INPUT'!B107=1,3.142*'DATA INPUT'!N107^2*'DATA INPUT'!O107/3+3.142*'DATA INPUT'!P107^2/3*(3*'DATA INPUT'!N107-'DATA INPUT'!P107),IF('DATA INPUT'!B107=2,3.142*'DATA INPUT'!N107^2*'DATA INPUT'!O107/3+3.142*'DATA INPUT'!P107^2/3*(3*'DATA INPUT'!N107-'DATA INPUT'!P107),FALSE)))))</f>
        <v>0</v>
      </c>
      <c r="J103" s="2" t="b">
        <f>IF('DATA INPUT'!B107="T. ser",0.0458*CALCULATIONS!I103^0.6841,IF('DATA INPUT'!B107="S. mel",0.6047*CALCULATIONS!I103^0.6433,IF('DATA INPUT'!B107="V. ref",0.77086*CALCULATIONS!I103^0.4936,IF('DATA INPUT'!B107=1,0.68778*CALCULATIONS!I103^0.56845,IF('DATA INPUT'!B107=2,0.0458*CALCULATIONS!I103^0.6841,FALSE)))))</f>
        <v>0</v>
      </c>
      <c r="K103" s="3">
        <f t="shared" si="8"/>
        <v>0</v>
      </c>
      <c r="L103" s="3" t="b">
        <f>IF('DATA INPUT'!B107="T. ser",('DATA INPUT'!D107+'DATA INPUT'!F107+'DATA INPUT'!H107+'DATA INPUT'!J107)/1.5,IF('DATA INPUT'!B107="V. ref",('DATA INPUT'!D107+'DATA INPUT'!F107+'DATA INPUT'!H107+'DATA INPUT'!J107)/1.5,IF('DATA INPUT'!B107="S. mel",('DATA INPUT'!D107+'DATA INPUT'!F107+'DATA INPUT'!H107+'DATA INPUT'!J107)/1.5,IF('DATA INPUT'!B107=1,('DATA INPUT'!D107+'DATA INPUT'!F107+'DATA INPUT'!H107+'DATA INPUT'!J107)/1.5,IF('DATA INPUT'!B107=2,('DATA INPUT'!D107+'DATA INPUT'!F107+'DATA INPUT'!H107+'DATA INPUT'!J107)/1.5,FALSE)))))</f>
        <v>0</v>
      </c>
      <c r="N103" s="16">
        <f>'DATA INPUT'!C107</f>
        <v>0</v>
      </c>
      <c r="O103" s="3" t="b">
        <f>IF('DATA INPUT'!B107="T. ser",0.3446*'DATA INPUT'!D107^1.0619,IF('DATA INPUT'!B107="S. mel",(1270.6*'DATA INPUT'!D107^2.0933)/1000,IF('DATA INPUT'!B107="V. ref",(816.25*'DATA INPUT'!D107^2.1754)/1000,IF('DATA INPUT'!B107=1,(1492.4*'DATA INPUT'!D107^1.7591)/1000,IF('DATA INPUT'!B107=2,0.3446*'DATA INPUT'!D107^1.0619,FALSE)))))</f>
        <v>0</v>
      </c>
      <c r="P103" s="3" t="b">
        <f>IF('DATA INPUT'!B107="T. ser",0.3662*'DATA INPUT'!E107^1.5061,IF('DATA INPUT'!B107="S. mel",(748.47*'DATA INPUT'!E107^2.2691)/1000,IF('DATA INPUT'!B107="V. ref",(953.69*'DATA INPUT'!E107^1.9524)/1000,IF('DATA INPUT'!B107=1,(695.02*'DATA INPUT'!E107^2.3452)/1000,IF('DATA INPUT'!B107=2,0.3662*'DATA INPUT'!E107^1.5061,FALSE)))))</f>
        <v>0</v>
      </c>
      <c r="Q103" s="3" t="b">
        <f>IF('DATA INPUT'!B107="T. ser",0.1225*('DATA INPUT'!F107*'DATA INPUT'!G107)^0.8272,IF('DATA INPUT'!B107="S. mel",(925.08*('DATA INPUT'!F107*'DATA INPUT'!G107)^1.1603)/1000,IF('DATA INPUT'!B107="V. ref",(776.29*('DATA INPUT'!F107*'DATA INPUT'!G107)^1.1226)/1000,IF('DATA INPUT'!B107=1,(884.6*('DATA INPUT'!F107*'DATA INPUT'!G107)^1.129)/1000,IF('DATA INPUT'!B107=2,0.1225*('DATA INPUT'!F107*'DATA INPUT'!G107)^0.8272,FALSE)))))</f>
        <v>0</v>
      </c>
      <c r="R103" s="3" t="b">
        <f>IF('DATA INPUT'!B107="T. ser",5.5287*('DATA INPUT'!H107*'DATA INPUT'!I107)^0.8272,IF('DATA INPUT'!B107="S. mel",(31469*('DATA INPUT'!H107*'DATA INPUT'!I107)^0.8608)/1000,IF('DATA INPUT'!B107="V. ref",(39394*('DATA INPUT'!H107*'DATA INPUT'!I107)^1.005)/1000,IF('DATA INPUT'!B107=1,(31791*('DATA INPUT'!H107*'DATA INPUT'!I107)^0.8467)/1000,IF('DATA INPUT'!B107=2,5.5287*('DATA INPUT'!H107*'DATA INPUT'!I107)^0.8272,FALSE)))))</f>
        <v>0</v>
      </c>
      <c r="S103" s="3" t="b">
        <f>IF('DATA INPUT'!B107="T. ser",0.0005*I103^0.5148,IF('DATA INPUT'!B107="S. mel",0.051*I103^0.7789/1000,IF('DATA INPUT'!B107="V. ref",0.0958*I103^0.7253/1000,IF('DATA INPUT'!B107=1,0.0426*I103^0.786/1000,IF('DATA INPUT'!B107=2,0.0005*I103^0.5148,FALSE)))))</f>
        <v>0</v>
      </c>
      <c r="T103" s="59">
        <f t="shared" si="9"/>
        <v>0</v>
      </c>
    </row>
    <row r="104" spans="1:20" x14ac:dyDescent="0.2">
      <c r="A104" s="218">
        <f>'DATA INPUT'!C108</f>
        <v>0</v>
      </c>
      <c r="B104" s="11" t="b">
        <f>IF('DATA INPUT'!B108="T. ser",0.1656*'DATA INPUT'!D108^1.4655,IF('DATA INPUT'!B108="S. mel",135.53*'DATA INPUT'!D108^3.8701/1000,IF('DATA INPUT'!B108="V. ref",143.01*'DATA INPUT'!D108^3.3147/1000,IF('DATA INPUT'!B108=1,143.35*'DATA INPUT'!D108^3.6046/1000,IF('DATA INPUT'!B108=2,0.1656*'DATA INPUT'!D108^1.4655,FALSE)))))</f>
        <v>0</v>
      </c>
      <c r="C104" s="8" t="b">
        <f>IF('DATA INPUT'!B108="T. ser",0.3356*'DATA INPUT'!E108^0.9984,IF('DATA INPUT'!B108="S. mel",24.906*'DATA INPUT'!E108^4.7681/1000,IF('DATA INPUT'!B108="V. ref",118.45*'DATA INPUT'!E108^3.5959/1000,IF('DATA INPUT'!B108=1,55.075*'DATA INPUT'!E108^4.0991/1000,IF('DATA INPUT'!B108=2,0.3356*'DATA INPUT'!E108^0.9984,FALSE)))))</f>
        <v>0</v>
      </c>
      <c r="D104" s="18" t="b">
        <f>IF('DATA INPUT'!B108="T. ser",0.0615*('DATA INPUT'!F108*'DATA INPUT'!G108)^0.9573,IF('DATA INPUT'!B108="S. mel",46.162*('DATA INPUT'!F108*'DATA INPUT'!G108)^2.3652/1000,IF('DATA INPUT'!B108="V. ref",90.34*('DATA INPUT'!F108*'DATA INPUT'!G108)^1.9756/1000,IF('DATA INPUT'!B108=1,63.022*('DATA INPUT'!F108*'DATA INPUT'!G108)^2.1551/1000,IF('DATA INPUT'!B108=2,0.0615*('DATA INPUT'!F108*'DATA INPUT'!G108)^0.9573,FALSE)))))</f>
        <v>0</v>
      </c>
      <c r="E104" s="8" t="b">
        <f>IF('DATA INPUT'!B108="T. ser",5.0562*('DATA INPUT'!H108*'DATA INPUT'!I108)^0.9574,IF('DATA INPUT'!B108="S. mel",44047*('DATA INPUT'!H108*'DATA INPUT'!I108)^1.5456/1000,IF('DATA INPUT'!B108="V. ref",91930*('DATA INPUT'!H108*'DATA INPUT'!I108)^1.7774/1000,IF('DATA INPUT'!B108=1,62601*('DATA INPUT'!H108*'DATA INPUT'!I108)^1.6463/1000,IF('DATA INPUT'!B108=2,5.0562*('DATA INPUT'!H108*'DATA INPUT'!I108)^0.9574,FALSE)))))</f>
        <v>0</v>
      </c>
      <c r="F104" s="18" t="b">
        <f>IF('DATA INPUT'!B108="T. ser",0.0009*I104^0.4477,IF('DATA INPUT'!B108="S. mel",0.0000004*I104^1.4912/1000,IF('DATA INPUT'!B108="V. ref",0.00000005*I104^1.6284/1000,IF('DATA INPUT'!B108=1,0.0000007*I104^1.4601/1000,IF('DATA INPUT'!B108=2,0.0009*I104^0.4477,FALSE)))))</f>
        <v>0</v>
      </c>
      <c r="G104" s="57">
        <f t="shared" si="10"/>
        <v>0</v>
      </c>
      <c r="H104" s="57"/>
      <c r="I104" s="2" t="b">
        <f>IF('DATA INPUT'!B108="T. ser",3.142*'DATA INPUT'!N108^2*'DATA INPUT'!O108/3+3.142*'DATA INPUT'!P108^2/3*(3*'DATA INPUT'!N108-'DATA INPUT'!P108),IF('DATA INPUT'!B108="S. mel",3.142*'DATA INPUT'!N108^2*'DATA INPUT'!O108/3+3.142*'DATA INPUT'!P108^2/3*(3*'DATA INPUT'!N108-'DATA INPUT'!P108),IF('DATA INPUT'!B108="V. ref",3.142*'DATA INPUT'!N108^2*'DATA INPUT'!O108/3+3.142*'DATA INPUT'!P108^2/3*(3*'DATA INPUT'!N108-'DATA INPUT'!P108),IF('DATA INPUT'!B108=1,3.142*'DATA INPUT'!N108^2*'DATA INPUT'!O108/3+3.142*'DATA INPUT'!P108^2/3*(3*'DATA INPUT'!N108-'DATA INPUT'!P108),IF('DATA INPUT'!B108=2,3.142*'DATA INPUT'!N108^2*'DATA INPUT'!O108/3+3.142*'DATA INPUT'!P108^2/3*(3*'DATA INPUT'!N108-'DATA INPUT'!P108),FALSE)))))</f>
        <v>0</v>
      </c>
      <c r="J104" s="2" t="b">
        <f>IF('DATA INPUT'!B108="T. ser",0.0458*CALCULATIONS!I104^0.6841,IF('DATA INPUT'!B108="S. mel",0.6047*CALCULATIONS!I104^0.6433,IF('DATA INPUT'!B108="V. ref",0.77086*CALCULATIONS!I104^0.4936,IF('DATA INPUT'!B108=1,0.68778*CALCULATIONS!I104^0.56845,IF('DATA INPUT'!B108=2,0.0458*CALCULATIONS!I104^0.6841,FALSE)))))</f>
        <v>0</v>
      </c>
      <c r="K104" s="3">
        <f t="shared" si="8"/>
        <v>0</v>
      </c>
      <c r="L104" s="3" t="b">
        <f>IF('DATA INPUT'!B108="T. ser",('DATA INPUT'!D108+'DATA INPUT'!F108+'DATA INPUT'!H108+'DATA INPUT'!J108)/1.5,IF('DATA INPUT'!B108="V. ref",('DATA INPUT'!D108+'DATA INPUT'!F108+'DATA INPUT'!H108+'DATA INPUT'!J108)/1.5,IF('DATA INPUT'!B108="S. mel",('DATA INPUT'!D108+'DATA INPUT'!F108+'DATA INPUT'!H108+'DATA INPUT'!J108)/1.5,IF('DATA INPUT'!B108=1,('DATA INPUT'!D108+'DATA INPUT'!F108+'DATA INPUT'!H108+'DATA INPUT'!J108)/1.5,IF('DATA INPUT'!B108=2,('DATA INPUT'!D108+'DATA INPUT'!F108+'DATA INPUT'!H108+'DATA INPUT'!J108)/1.5,FALSE)))))</f>
        <v>0</v>
      </c>
      <c r="N104" s="16">
        <f>'DATA INPUT'!C108</f>
        <v>0</v>
      </c>
      <c r="O104" s="3" t="b">
        <f>IF('DATA INPUT'!B108="T. ser",0.3446*'DATA INPUT'!D108^1.0619,IF('DATA INPUT'!B108="S. mel",(1270.6*'DATA INPUT'!D108^2.0933)/1000,IF('DATA INPUT'!B108="V. ref",(816.25*'DATA INPUT'!D108^2.1754)/1000,IF('DATA INPUT'!B108=1,(1492.4*'DATA INPUT'!D108^1.7591)/1000,IF('DATA INPUT'!B108=2,0.3446*'DATA INPUT'!D108^1.0619,FALSE)))))</f>
        <v>0</v>
      </c>
      <c r="P104" s="3" t="b">
        <f>IF('DATA INPUT'!B108="T. ser",0.3662*'DATA INPUT'!E108^1.5061,IF('DATA INPUT'!B108="S. mel",(748.47*'DATA INPUT'!E108^2.2691)/1000,IF('DATA INPUT'!B108="V. ref",(953.69*'DATA INPUT'!E108^1.9524)/1000,IF('DATA INPUT'!B108=1,(695.02*'DATA INPUT'!E108^2.3452)/1000,IF('DATA INPUT'!B108=2,0.3662*'DATA INPUT'!E108^1.5061,FALSE)))))</f>
        <v>0</v>
      </c>
      <c r="Q104" s="3" t="b">
        <f>IF('DATA INPUT'!B108="T. ser",0.1225*('DATA INPUT'!F108*'DATA INPUT'!G108)^0.8272,IF('DATA INPUT'!B108="S. mel",(925.08*('DATA INPUT'!F108*'DATA INPUT'!G108)^1.1603)/1000,IF('DATA INPUT'!B108="V. ref",(776.29*('DATA INPUT'!F108*'DATA INPUT'!G108)^1.1226)/1000,IF('DATA INPUT'!B108=1,(884.6*('DATA INPUT'!F108*'DATA INPUT'!G108)^1.129)/1000,IF('DATA INPUT'!B108=2,0.1225*('DATA INPUT'!F108*'DATA INPUT'!G108)^0.8272,FALSE)))))</f>
        <v>0</v>
      </c>
      <c r="R104" s="3" t="b">
        <f>IF('DATA INPUT'!B108="T. ser",5.5287*('DATA INPUT'!H108*'DATA INPUT'!I108)^0.8272,IF('DATA INPUT'!B108="S. mel",(31469*('DATA INPUT'!H108*'DATA INPUT'!I108)^0.8608)/1000,IF('DATA INPUT'!B108="V. ref",(39394*('DATA INPUT'!H108*'DATA INPUT'!I108)^1.005)/1000,IF('DATA INPUT'!B108=1,(31791*('DATA INPUT'!H108*'DATA INPUT'!I108)^0.8467)/1000,IF('DATA INPUT'!B108=2,5.5287*('DATA INPUT'!H108*'DATA INPUT'!I108)^0.8272,FALSE)))))</f>
        <v>0</v>
      </c>
      <c r="S104" s="3" t="b">
        <f>IF('DATA INPUT'!B108="T. ser",0.0005*I104^0.5148,IF('DATA INPUT'!B108="S. mel",0.051*I104^0.7789/1000,IF('DATA INPUT'!B108="V. ref",0.0958*I104^0.7253/1000,IF('DATA INPUT'!B108=1,0.0426*I104^0.786/1000,IF('DATA INPUT'!B108=2,0.0005*I104^0.5148,FALSE)))))</f>
        <v>0</v>
      </c>
      <c r="T104" s="59">
        <f t="shared" si="9"/>
        <v>0</v>
      </c>
    </row>
    <row r="105" spans="1:20" x14ac:dyDescent="0.2">
      <c r="A105" s="218">
        <f>'DATA INPUT'!C109</f>
        <v>0</v>
      </c>
      <c r="B105" s="11" t="b">
        <f>IF('DATA INPUT'!B109="T. ser",0.1656*'DATA INPUT'!D109^1.4655,IF('DATA INPUT'!B109="S. mel",135.53*'DATA INPUT'!D109^3.8701/1000,IF('DATA INPUT'!B109="V. ref",143.01*'DATA INPUT'!D109^3.3147/1000,IF('DATA INPUT'!B109=1,143.35*'DATA INPUT'!D109^3.6046/1000,IF('DATA INPUT'!B109=2,0.1656*'DATA INPUT'!D109^1.4655,FALSE)))))</f>
        <v>0</v>
      </c>
      <c r="C105" s="8" t="b">
        <f>IF('DATA INPUT'!B109="T. ser",0.3356*'DATA INPUT'!E109^0.9984,IF('DATA INPUT'!B109="S. mel",24.906*'DATA INPUT'!E109^4.7681/1000,IF('DATA INPUT'!B109="V. ref",118.45*'DATA INPUT'!E109^3.5959/1000,IF('DATA INPUT'!B109=1,55.075*'DATA INPUT'!E109^4.0991/1000,IF('DATA INPUT'!B109=2,0.3356*'DATA INPUT'!E109^0.9984,FALSE)))))</f>
        <v>0</v>
      </c>
      <c r="D105" s="18" t="b">
        <f>IF('DATA INPUT'!B109="T. ser",0.0615*('DATA INPUT'!F109*'DATA INPUT'!G109)^0.9573,IF('DATA INPUT'!B109="S. mel",46.162*('DATA INPUT'!F109*'DATA INPUT'!G109)^2.3652/1000,IF('DATA INPUT'!B109="V. ref",90.34*('DATA INPUT'!F109*'DATA INPUT'!G109)^1.9756/1000,IF('DATA INPUT'!B109=1,63.022*('DATA INPUT'!F109*'DATA INPUT'!G109)^2.1551/1000,IF('DATA INPUT'!B109=2,0.0615*('DATA INPUT'!F109*'DATA INPUT'!G109)^0.9573,FALSE)))))</f>
        <v>0</v>
      </c>
      <c r="E105" s="8" t="b">
        <f>IF('DATA INPUT'!B109="T. ser",5.0562*('DATA INPUT'!H109*'DATA INPUT'!I109)^0.9574,IF('DATA INPUT'!B109="S. mel",44047*('DATA INPUT'!H109*'DATA INPUT'!I109)^1.5456/1000,IF('DATA INPUT'!B109="V. ref",91930*('DATA INPUT'!H109*'DATA INPUT'!I109)^1.7774/1000,IF('DATA INPUT'!B109=1,62601*('DATA INPUT'!H109*'DATA INPUT'!I109)^1.6463/1000,IF('DATA INPUT'!B109=2,5.0562*('DATA INPUT'!H109*'DATA INPUT'!I109)^0.9574,FALSE)))))</f>
        <v>0</v>
      </c>
      <c r="F105" s="18" t="b">
        <f>IF('DATA INPUT'!B109="T. ser",0.0009*I105^0.4477,IF('DATA INPUT'!B109="S. mel",0.0000004*I105^1.4912/1000,IF('DATA INPUT'!B109="V. ref",0.00000005*I105^1.6284/1000,IF('DATA INPUT'!B109=1,0.0000007*I105^1.4601/1000,IF('DATA INPUT'!B109=2,0.0009*I105^0.4477,FALSE)))))</f>
        <v>0</v>
      </c>
      <c r="G105" s="57">
        <f t="shared" si="10"/>
        <v>0</v>
      </c>
      <c r="H105" s="57"/>
      <c r="I105" s="2" t="b">
        <f>IF('DATA INPUT'!B109="T. ser",3.142*'DATA INPUT'!N109^2*'DATA INPUT'!O109/3+3.142*'DATA INPUT'!P109^2/3*(3*'DATA INPUT'!N109-'DATA INPUT'!P109),IF('DATA INPUT'!B109="S. mel",3.142*'DATA INPUT'!N109^2*'DATA INPUT'!O109/3+3.142*'DATA INPUT'!P109^2/3*(3*'DATA INPUT'!N109-'DATA INPUT'!P109),IF('DATA INPUT'!B109="V. ref",3.142*'DATA INPUT'!N109^2*'DATA INPUT'!O109/3+3.142*'DATA INPUT'!P109^2/3*(3*'DATA INPUT'!N109-'DATA INPUT'!P109),IF('DATA INPUT'!B109=1,3.142*'DATA INPUT'!N109^2*'DATA INPUT'!O109/3+3.142*'DATA INPUT'!P109^2/3*(3*'DATA INPUT'!N109-'DATA INPUT'!P109),IF('DATA INPUT'!B109=2,3.142*'DATA INPUT'!N109^2*'DATA INPUT'!O109/3+3.142*'DATA INPUT'!P109^2/3*(3*'DATA INPUT'!N109-'DATA INPUT'!P109),FALSE)))))</f>
        <v>0</v>
      </c>
      <c r="J105" s="2" t="b">
        <f>IF('DATA INPUT'!B109="T. ser",0.0458*CALCULATIONS!I105^0.6841,IF('DATA INPUT'!B109="S. mel",0.6047*CALCULATIONS!I105^0.6433,IF('DATA INPUT'!B109="V. ref",0.77086*CALCULATIONS!I105^0.4936,IF('DATA INPUT'!B109=1,0.68778*CALCULATIONS!I105^0.56845,IF('DATA INPUT'!B109=2,0.0458*CALCULATIONS!I105^0.6841,FALSE)))))</f>
        <v>0</v>
      </c>
      <c r="K105" s="3">
        <f t="shared" si="8"/>
        <v>0</v>
      </c>
      <c r="L105" s="3" t="b">
        <f>IF('DATA INPUT'!B109="T. ser",('DATA INPUT'!D109+'DATA INPUT'!F109+'DATA INPUT'!H109+'DATA INPUT'!J109)/1.5,IF('DATA INPUT'!B109="V. ref",('DATA INPUT'!D109+'DATA INPUT'!F109+'DATA INPUT'!H109+'DATA INPUT'!J109)/1.5,IF('DATA INPUT'!B109="S. mel",('DATA INPUT'!D109+'DATA INPUT'!F109+'DATA INPUT'!H109+'DATA INPUT'!J109)/1.5,IF('DATA INPUT'!B109=1,('DATA INPUT'!D109+'DATA INPUT'!F109+'DATA INPUT'!H109+'DATA INPUT'!J109)/1.5,IF('DATA INPUT'!B109=2,('DATA INPUT'!D109+'DATA INPUT'!F109+'DATA INPUT'!H109+'DATA INPUT'!J109)/1.5,FALSE)))))</f>
        <v>0</v>
      </c>
      <c r="N105" s="16">
        <f>'DATA INPUT'!C109</f>
        <v>0</v>
      </c>
      <c r="O105" s="3" t="b">
        <f>IF('DATA INPUT'!B109="T. ser",0.3446*'DATA INPUT'!D109^1.0619,IF('DATA INPUT'!B109="S. mel",(1270.6*'DATA INPUT'!D109^2.0933)/1000,IF('DATA INPUT'!B109="V. ref",(816.25*'DATA INPUT'!D109^2.1754)/1000,IF('DATA INPUT'!B109=1,(1492.4*'DATA INPUT'!D109^1.7591)/1000,IF('DATA INPUT'!B109=2,0.3446*'DATA INPUT'!D109^1.0619,FALSE)))))</f>
        <v>0</v>
      </c>
      <c r="P105" s="3" t="b">
        <f>IF('DATA INPUT'!B109="T. ser",0.3662*'DATA INPUT'!E109^1.5061,IF('DATA INPUT'!B109="S. mel",(748.47*'DATA INPUT'!E109^2.2691)/1000,IF('DATA INPUT'!B109="V. ref",(953.69*'DATA INPUT'!E109^1.9524)/1000,IF('DATA INPUT'!B109=1,(695.02*'DATA INPUT'!E109^2.3452)/1000,IF('DATA INPUT'!B109=2,0.3662*'DATA INPUT'!E109^1.5061,FALSE)))))</f>
        <v>0</v>
      </c>
      <c r="Q105" s="3" t="b">
        <f>IF('DATA INPUT'!B109="T. ser",0.1225*('DATA INPUT'!F109*'DATA INPUT'!G109)^0.8272,IF('DATA INPUT'!B109="S. mel",(925.08*('DATA INPUT'!F109*'DATA INPUT'!G109)^1.1603)/1000,IF('DATA INPUT'!B109="V. ref",(776.29*('DATA INPUT'!F109*'DATA INPUT'!G109)^1.1226)/1000,IF('DATA INPUT'!B109=1,(884.6*('DATA INPUT'!F109*'DATA INPUT'!G109)^1.129)/1000,IF('DATA INPUT'!B109=2,0.1225*('DATA INPUT'!F109*'DATA INPUT'!G109)^0.8272,FALSE)))))</f>
        <v>0</v>
      </c>
      <c r="R105" s="3" t="b">
        <f>IF('DATA INPUT'!B109="T. ser",5.5287*('DATA INPUT'!H109*'DATA INPUT'!I109)^0.8272,IF('DATA INPUT'!B109="S. mel",(31469*('DATA INPUT'!H109*'DATA INPUT'!I109)^0.8608)/1000,IF('DATA INPUT'!B109="V. ref",(39394*('DATA INPUT'!H109*'DATA INPUT'!I109)^1.005)/1000,IF('DATA INPUT'!B109=1,(31791*('DATA INPUT'!H109*'DATA INPUT'!I109)^0.8467)/1000,IF('DATA INPUT'!B109=2,5.5287*('DATA INPUT'!H109*'DATA INPUT'!I109)^0.8272,FALSE)))))</f>
        <v>0</v>
      </c>
      <c r="S105" s="3" t="b">
        <f>IF('DATA INPUT'!B109="T. ser",0.0005*I105^0.5148,IF('DATA INPUT'!B109="S. mel",0.051*I105^0.7789/1000,IF('DATA INPUT'!B109="V. ref",0.0958*I105^0.7253/1000,IF('DATA INPUT'!B109=1,0.0426*I105^0.786/1000,IF('DATA INPUT'!B109=2,0.0005*I105^0.5148,FALSE)))))</f>
        <v>0</v>
      </c>
      <c r="T105" s="59">
        <f t="shared" si="9"/>
        <v>0</v>
      </c>
    </row>
    <row r="106" spans="1:20" x14ac:dyDescent="0.2">
      <c r="A106" s="218">
        <f>'DATA INPUT'!C110</f>
        <v>0</v>
      </c>
      <c r="B106" s="11" t="b">
        <f>IF('DATA INPUT'!B110="T. ser",0.1656*'DATA INPUT'!D110^1.4655,IF('DATA INPUT'!B110="S. mel",135.53*'DATA INPUT'!D110^3.8701/1000,IF('DATA INPUT'!B110="V. ref",143.01*'DATA INPUT'!D110^3.3147/1000,IF('DATA INPUT'!B110=1,143.35*'DATA INPUT'!D110^3.6046/1000,IF('DATA INPUT'!B110=2,0.1656*'DATA INPUT'!D110^1.4655,FALSE)))))</f>
        <v>0</v>
      </c>
      <c r="C106" s="8" t="b">
        <f>IF('DATA INPUT'!B110="T. ser",0.3356*'DATA INPUT'!E110^0.9984,IF('DATA INPUT'!B110="S. mel",24.906*'DATA INPUT'!E110^4.7681/1000,IF('DATA INPUT'!B110="V. ref",118.45*'DATA INPUT'!E110^3.5959/1000,IF('DATA INPUT'!B110=1,55.075*'DATA INPUT'!E110^4.0991/1000,IF('DATA INPUT'!B110=2,0.3356*'DATA INPUT'!E110^0.9984,FALSE)))))</f>
        <v>0</v>
      </c>
      <c r="D106" s="18" t="b">
        <f>IF('DATA INPUT'!B110="T. ser",0.0615*('DATA INPUT'!F110*'DATA INPUT'!G110)^0.9573,IF('DATA INPUT'!B110="S. mel",46.162*('DATA INPUT'!F110*'DATA INPUT'!G110)^2.3652/1000,IF('DATA INPUT'!B110="V. ref",90.34*('DATA INPUT'!F110*'DATA INPUT'!G110)^1.9756/1000,IF('DATA INPUT'!B110=1,63.022*('DATA INPUT'!F110*'DATA INPUT'!G110)^2.1551/1000,IF('DATA INPUT'!B110=2,0.0615*('DATA INPUT'!F110*'DATA INPUT'!G110)^0.9573,FALSE)))))</f>
        <v>0</v>
      </c>
      <c r="E106" s="8" t="b">
        <f>IF('DATA INPUT'!B110="T. ser",5.0562*('DATA INPUT'!H110*'DATA INPUT'!I110)^0.9574,IF('DATA INPUT'!B110="S. mel",44047*('DATA INPUT'!H110*'DATA INPUT'!I110)^1.5456/1000,IF('DATA INPUT'!B110="V. ref",91930*('DATA INPUT'!H110*'DATA INPUT'!I110)^1.7774/1000,IF('DATA INPUT'!B110=1,62601*('DATA INPUT'!H110*'DATA INPUT'!I110)^1.6463/1000,IF('DATA INPUT'!B110=2,5.0562*('DATA INPUT'!H110*'DATA INPUT'!I110)^0.9574,FALSE)))))</f>
        <v>0</v>
      </c>
      <c r="F106" s="18" t="b">
        <f>IF('DATA INPUT'!B110="T. ser",0.0009*I106^0.4477,IF('DATA INPUT'!B110="S. mel",0.0000004*I106^1.4912/1000,IF('DATA INPUT'!B110="V. ref",0.00000005*I106^1.6284/1000,IF('DATA INPUT'!B110=1,0.0000007*I106^1.4601/1000,IF('DATA INPUT'!B110=2,0.0009*I106^0.4477,FALSE)))))</f>
        <v>0</v>
      </c>
      <c r="G106" s="57">
        <f t="shared" si="10"/>
        <v>0</v>
      </c>
      <c r="H106" s="57"/>
      <c r="I106" s="2" t="b">
        <f>IF('DATA INPUT'!B110="T. ser",3.142*'DATA INPUT'!N110^2*'DATA INPUT'!O110/3+3.142*'DATA INPUT'!P110^2/3*(3*'DATA INPUT'!N110-'DATA INPUT'!P110),IF('DATA INPUT'!B110="S. mel",3.142*'DATA INPUT'!N110^2*'DATA INPUT'!O110/3+3.142*'DATA INPUT'!P110^2/3*(3*'DATA INPUT'!N110-'DATA INPUT'!P110),IF('DATA INPUT'!B110="V. ref",3.142*'DATA INPUT'!N110^2*'DATA INPUT'!O110/3+3.142*'DATA INPUT'!P110^2/3*(3*'DATA INPUT'!N110-'DATA INPUT'!P110),IF('DATA INPUT'!B110=1,3.142*'DATA INPUT'!N110^2*'DATA INPUT'!O110/3+3.142*'DATA INPUT'!P110^2/3*(3*'DATA INPUT'!N110-'DATA INPUT'!P110),IF('DATA INPUT'!B110=2,3.142*'DATA INPUT'!N110^2*'DATA INPUT'!O110/3+3.142*'DATA INPUT'!P110^2/3*(3*'DATA INPUT'!N110-'DATA INPUT'!P110),FALSE)))))</f>
        <v>0</v>
      </c>
      <c r="J106" s="2" t="b">
        <f>IF('DATA INPUT'!B110="T. ser",0.0458*CALCULATIONS!I106^0.6841,IF('DATA INPUT'!B110="S. mel",0.6047*CALCULATIONS!I106^0.6433,IF('DATA INPUT'!B110="V. ref",0.77086*CALCULATIONS!I106^0.4936,IF('DATA INPUT'!B110=1,0.68778*CALCULATIONS!I106^0.56845,IF('DATA INPUT'!B110=2,0.0458*CALCULATIONS!I106^0.6841,FALSE)))))</f>
        <v>0</v>
      </c>
      <c r="K106" s="3">
        <f t="shared" si="8"/>
        <v>0</v>
      </c>
      <c r="L106" s="3" t="b">
        <f>IF('DATA INPUT'!B110="T. ser",('DATA INPUT'!D110+'DATA INPUT'!F110+'DATA INPUT'!H110+'DATA INPUT'!J110)/1.5,IF('DATA INPUT'!B110="V. ref",('DATA INPUT'!D110+'DATA INPUT'!F110+'DATA INPUT'!H110+'DATA INPUT'!J110)/1.5,IF('DATA INPUT'!B110="S. mel",('DATA INPUT'!D110+'DATA INPUT'!F110+'DATA INPUT'!H110+'DATA INPUT'!J110)/1.5,IF('DATA INPUT'!B110=1,('DATA INPUT'!D110+'DATA INPUT'!F110+'DATA INPUT'!H110+'DATA INPUT'!J110)/1.5,IF('DATA INPUT'!B110=2,('DATA INPUT'!D110+'DATA INPUT'!F110+'DATA INPUT'!H110+'DATA INPUT'!J110)/1.5,FALSE)))))</f>
        <v>0</v>
      </c>
      <c r="N106" s="16">
        <f>'DATA INPUT'!C110</f>
        <v>0</v>
      </c>
      <c r="O106" s="3" t="b">
        <f>IF('DATA INPUT'!B110="T. ser",0.3446*'DATA INPUT'!D110^1.0619,IF('DATA INPUT'!B110="S. mel",(1270.6*'DATA INPUT'!D110^2.0933)/1000,IF('DATA INPUT'!B110="V. ref",(816.25*'DATA INPUT'!D110^2.1754)/1000,IF('DATA INPUT'!B110=1,(1492.4*'DATA INPUT'!D110^1.7591)/1000,IF('DATA INPUT'!B110=2,0.3446*'DATA INPUT'!D110^1.0619,FALSE)))))</f>
        <v>0</v>
      </c>
      <c r="P106" s="3" t="b">
        <f>IF('DATA INPUT'!B110="T. ser",0.3662*'DATA INPUT'!E110^1.5061,IF('DATA INPUT'!B110="S. mel",(748.47*'DATA INPUT'!E110^2.2691)/1000,IF('DATA INPUT'!B110="V. ref",(953.69*'DATA INPUT'!E110^1.9524)/1000,IF('DATA INPUT'!B110=1,(695.02*'DATA INPUT'!E110^2.3452)/1000,IF('DATA INPUT'!B110=2,0.3662*'DATA INPUT'!E110^1.5061,FALSE)))))</f>
        <v>0</v>
      </c>
      <c r="Q106" s="3" t="b">
        <f>IF('DATA INPUT'!B110="T. ser",0.1225*('DATA INPUT'!F110*'DATA INPUT'!G110)^0.8272,IF('DATA INPUT'!B110="S. mel",(925.08*('DATA INPUT'!F110*'DATA INPUT'!G110)^1.1603)/1000,IF('DATA INPUT'!B110="V. ref",(776.29*('DATA INPUT'!F110*'DATA INPUT'!G110)^1.1226)/1000,IF('DATA INPUT'!B110=1,(884.6*('DATA INPUT'!F110*'DATA INPUT'!G110)^1.129)/1000,IF('DATA INPUT'!B110=2,0.1225*('DATA INPUT'!F110*'DATA INPUT'!G110)^0.8272,FALSE)))))</f>
        <v>0</v>
      </c>
      <c r="R106" s="3" t="b">
        <f>IF('DATA INPUT'!B110="T. ser",5.5287*('DATA INPUT'!H110*'DATA INPUT'!I110)^0.8272,IF('DATA INPUT'!B110="S. mel",(31469*('DATA INPUT'!H110*'DATA INPUT'!I110)^0.8608)/1000,IF('DATA INPUT'!B110="V. ref",(39394*('DATA INPUT'!H110*'DATA INPUT'!I110)^1.005)/1000,IF('DATA INPUT'!B110=1,(31791*('DATA INPUT'!H110*'DATA INPUT'!I110)^0.8467)/1000,IF('DATA INPUT'!B110=2,5.5287*('DATA INPUT'!H110*'DATA INPUT'!I110)^0.8272,FALSE)))))</f>
        <v>0</v>
      </c>
      <c r="S106" s="3" t="b">
        <f>IF('DATA INPUT'!B110="T. ser",0.0005*I106^0.5148,IF('DATA INPUT'!B110="S. mel",0.051*I106^0.7789/1000,IF('DATA INPUT'!B110="V. ref",0.0958*I106^0.7253/1000,IF('DATA INPUT'!B110=1,0.0426*I106^0.786/1000,IF('DATA INPUT'!B110=2,0.0005*I106^0.5148,FALSE)))))</f>
        <v>0</v>
      </c>
      <c r="T106" s="59">
        <f t="shared" si="9"/>
        <v>0</v>
      </c>
    </row>
    <row r="107" spans="1:20" x14ac:dyDescent="0.2">
      <c r="A107" s="218">
        <f>'DATA INPUT'!C111</f>
        <v>0</v>
      </c>
      <c r="B107" s="11" t="b">
        <f>IF('DATA INPUT'!B111="T. ser",0.1656*'DATA INPUT'!D111^1.4655,IF('DATA INPUT'!B111="S. mel",135.53*'DATA INPUT'!D111^3.8701/1000,IF('DATA INPUT'!B111="V. ref",143.01*'DATA INPUT'!D111^3.3147/1000,IF('DATA INPUT'!B111=1,143.35*'DATA INPUT'!D111^3.6046/1000,IF('DATA INPUT'!B111=2,0.1656*'DATA INPUT'!D111^1.4655,FALSE)))))</f>
        <v>0</v>
      </c>
      <c r="C107" s="8" t="b">
        <f>IF('DATA INPUT'!B111="T. ser",0.3356*'DATA INPUT'!E111^0.9984,IF('DATA INPUT'!B111="S. mel",24.906*'DATA INPUT'!E111^4.7681/1000,IF('DATA INPUT'!B111="V. ref",118.45*'DATA INPUT'!E111^3.5959/1000,IF('DATA INPUT'!B111=1,55.075*'DATA INPUT'!E111^4.0991/1000,IF('DATA INPUT'!B111=2,0.3356*'DATA INPUT'!E111^0.9984,FALSE)))))</f>
        <v>0</v>
      </c>
      <c r="D107" s="18" t="b">
        <f>IF('DATA INPUT'!B111="T. ser",0.0615*('DATA INPUT'!F111*'DATA INPUT'!G111)^0.9573,IF('DATA INPUT'!B111="S. mel",46.162*('DATA INPUT'!F111*'DATA INPUT'!G111)^2.3652/1000,IF('DATA INPUT'!B111="V. ref",90.34*('DATA INPUT'!F111*'DATA INPUT'!G111)^1.9756/1000,IF('DATA INPUT'!B111=1,63.022*('DATA INPUT'!F111*'DATA INPUT'!G111)^2.1551/1000,IF('DATA INPUT'!B111=2,0.0615*('DATA INPUT'!F111*'DATA INPUT'!G111)^0.9573,FALSE)))))</f>
        <v>0</v>
      </c>
      <c r="E107" s="8" t="b">
        <f>IF('DATA INPUT'!B111="T. ser",5.0562*('DATA INPUT'!H111*'DATA INPUT'!I111)^0.9574,IF('DATA INPUT'!B111="S. mel",44047*('DATA INPUT'!H111*'DATA INPUT'!I111)^1.5456/1000,IF('DATA INPUT'!B111="V. ref",91930*('DATA INPUT'!H111*'DATA INPUT'!I111)^1.7774/1000,IF('DATA INPUT'!B111=1,62601*('DATA INPUT'!H111*'DATA INPUT'!I111)^1.6463/1000,IF('DATA INPUT'!B111=2,5.0562*('DATA INPUT'!H111*'DATA INPUT'!I111)^0.9574,FALSE)))))</f>
        <v>0</v>
      </c>
      <c r="F107" s="18" t="b">
        <f>IF('DATA INPUT'!B111="T. ser",0.0009*I107^0.4477,IF('DATA INPUT'!B111="S. mel",0.0000004*I107^1.4912/1000,IF('DATA INPUT'!B111="V. ref",0.00000005*I107^1.6284/1000,IF('DATA INPUT'!B111=1,0.0000007*I107^1.4601/1000,IF('DATA INPUT'!B111=2,0.0009*I107^0.4477,FALSE)))))</f>
        <v>0</v>
      </c>
      <c r="G107" s="57">
        <f t="shared" si="10"/>
        <v>0</v>
      </c>
      <c r="H107" s="57"/>
      <c r="I107" s="2" t="b">
        <f>IF('DATA INPUT'!B111="T. ser",3.142*'DATA INPUT'!N111^2*'DATA INPUT'!O111/3+3.142*'DATA INPUT'!P111^2/3*(3*'DATA INPUT'!N111-'DATA INPUT'!P111),IF('DATA INPUT'!B111="S. mel",3.142*'DATA INPUT'!N111^2*'DATA INPUT'!O111/3+3.142*'DATA INPUT'!P111^2/3*(3*'DATA INPUT'!N111-'DATA INPUT'!P111),IF('DATA INPUT'!B111="V. ref",3.142*'DATA INPUT'!N111^2*'DATA INPUT'!O111/3+3.142*'DATA INPUT'!P111^2/3*(3*'DATA INPUT'!N111-'DATA INPUT'!P111),IF('DATA INPUT'!B111=1,3.142*'DATA INPUT'!N111^2*'DATA INPUT'!O111/3+3.142*'DATA INPUT'!P111^2/3*(3*'DATA INPUT'!N111-'DATA INPUT'!P111),IF('DATA INPUT'!B111=2,3.142*'DATA INPUT'!N111^2*'DATA INPUT'!O111/3+3.142*'DATA INPUT'!P111^2/3*(3*'DATA INPUT'!N111-'DATA INPUT'!P111),FALSE)))))</f>
        <v>0</v>
      </c>
      <c r="J107" s="2" t="b">
        <f>IF('DATA INPUT'!B111="T. ser",0.0458*CALCULATIONS!I107^0.6841,IF('DATA INPUT'!B111="S. mel",0.6047*CALCULATIONS!I107^0.6433,IF('DATA INPUT'!B111="V. ref",0.77086*CALCULATIONS!I107^0.4936,IF('DATA INPUT'!B111=1,0.68778*CALCULATIONS!I107^0.56845,IF('DATA INPUT'!B111=2,0.0458*CALCULATIONS!I107^0.6841,FALSE)))))</f>
        <v>0</v>
      </c>
      <c r="K107" s="3">
        <f t="shared" si="8"/>
        <v>0</v>
      </c>
      <c r="L107" s="3" t="b">
        <f>IF('DATA INPUT'!B111="T. ser",('DATA INPUT'!D111+'DATA INPUT'!F111+'DATA INPUT'!H111+'DATA INPUT'!J111)/1.5,IF('DATA INPUT'!B111="V. ref",('DATA INPUT'!D111+'DATA INPUT'!F111+'DATA INPUT'!H111+'DATA INPUT'!J111)/1.5,IF('DATA INPUT'!B111="S. mel",('DATA INPUT'!D111+'DATA INPUT'!F111+'DATA INPUT'!H111+'DATA INPUT'!J111)/1.5,IF('DATA INPUT'!B111=1,('DATA INPUT'!D111+'DATA INPUT'!F111+'DATA INPUT'!H111+'DATA INPUT'!J111)/1.5,IF('DATA INPUT'!B111=2,('DATA INPUT'!D111+'DATA INPUT'!F111+'DATA INPUT'!H111+'DATA INPUT'!J111)/1.5,FALSE)))))</f>
        <v>0</v>
      </c>
      <c r="N107" s="16">
        <f>'DATA INPUT'!C111</f>
        <v>0</v>
      </c>
      <c r="O107" s="3" t="b">
        <f>IF('DATA INPUT'!B111="T. ser",0.3446*'DATA INPUT'!D111^1.0619,IF('DATA INPUT'!B111="S. mel",(1270.6*'DATA INPUT'!D111^2.0933)/1000,IF('DATA INPUT'!B111="V. ref",(816.25*'DATA INPUT'!D111^2.1754)/1000,IF('DATA INPUT'!B111=1,(1492.4*'DATA INPUT'!D111^1.7591)/1000,IF('DATA INPUT'!B111=2,0.3446*'DATA INPUT'!D111^1.0619,FALSE)))))</f>
        <v>0</v>
      </c>
      <c r="P107" s="3" t="b">
        <f>IF('DATA INPUT'!B111="T. ser",0.3662*'DATA INPUT'!E111^1.5061,IF('DATA INPUT'!B111="S. mel",(748.47*'DATA INPUT'!E111^2.2691)/1000,IF('DATA INPUT'!B111="V. ref",(953.69*'DATA INPUT'!E111^1.9524)/1000,IF('DATA INPUT'!B111=1,(695.02*'DATA INPUT'!E111^2.3452)/1000,IF('DATA INPUT'!B111=2,0.3662*'DATA INPUT'!E111^1.5061,FALSE)))))</f>
        <v>0</v>
      </c>
      <c r="Q107" s="3" t="b">
        <f>IF('DATA INPUT'!B111="T. ser",0.1225*('DATA INPUT'!F111*'DATA INPUT'!G111)^0.8272,IF('DATA INPUT'!B111="S. mel",(925.08*('DATA INPUT'!F111*'DATA INPUT'!G111)^1.1603)/1000,IF('DATA INPUT'!B111="V. ref",(776.29*('DATA INPUT'!F111*'DATA INPUT'!G111)^1.1226)/1000,IF('DATA INPUT'!B111=1,(884.6*('DATA INPUT'!F111*'DATA INPUT'!G111)^1.129)/1000,IF('DATA INPUT'!B111=2,0.1225*('DATA INPUT'!F111*'DATA INPUT'!G111)^0.8272,FALSE)))))</f>
        <v>0</v>
      </c>
      <c r="R107" s="3" t="b">
        <f>IF('DATA INPUT'!B111="T. ser",5.5287*('DATA INPUT'!H111*'DATA INPUT'!I111)^0.8272,IF('DATA INPUT'!B111="S. mel",(31469*('DATA INPUT'!H111*'DATA INPUT'!I111)^0.8608)/1000,IF('DATA INPUT'!B111="V. ref",(39394*('DATA INPUT'!H111*'DATA INPUT'!I111)^1.005)/1000,IF('DATA INPUT'!B111=1,(31791*('DATA INPUT'!H111*'DATA INPUT'!I111)^0.8467)/1000,IF('DATA INPUT'!B111=2,5.5287*('DATA INPUT'!H111*'DATA INPUT'!I111)^0.8272,FALSE)))))</f>
        <v>0</v>
      </c>
      <c r="S107" s="3" t="b">
        <f>IF('DATA INPUT'!B111="T. ser",0.0005*I107^0.5148,IF('DATA INPUT'!B111="S. mel",0.051*I107^0.7789/1000,IF('DATA INPUT'!B111="V. ref",0.0958*I107^0.7253/1000,IF('DATA INPUT'!B111=1,0.0426*I107^0.786/1000,IF('DATA INPUT'!B111=2,0.0005*I107^0.5148,FALSE)))))</f>
        <v>0</v>
      </c>
      <c r="T107" s="59">
        <f t="shared" si="9"/>
        <v>0</v>
      </c>
    </row>
    <row r="108" spans="1:20" x14ac:dyDescent="0.2">
      <c r="A108" s="218">
        <f>'DATA INPUT'!C112</f>
        <v>0</v>
      </c>
      <c r="B108" s="11" t="b">
        <f>IF('DATA INPUT'!B112="T. ser",0.1656*'DATA INPUT'!D112^1.4655,IF('DATA INPUT'!B112="S. mel",135.53*'DATA INPUT'!D112^3.8701/1000,IF('DATA INPUT'!B112="V. ref",143.01*'DATA INPUT'!D112^3.3147/1000,IF('DATA INPUT'!B112=1,143.35*'DATA INPUT'!D112^3.6046/1000,IF('DATA INPUT'!B112=2,0.1656*'DATA INPUT'!D112^1.4655,FALSE)))))</f>
        <v>0</v>
      </c>
      <c r="C108" s="8" t="b">
        <f>IF('DATA INPUT'!B112="T. ser",0.3356*'DATA INPUT'!E112^0.9984,IF('DATA INPUT'!B112="S. mel",24.906*'DATA INPUT'!E112^4.7681/1000,IF('DATA INPUT'!B112="V. ref",118.45*'DATA INPUT'!E112^3.5959/1000,IF('DATA INPUT'!B112=1,55.075*'DATA INPUT'!E112^4.0991/1000,IF('DATA INPUT'!B112=2,0.3356*'DATA INPUT'!E112^0.9984,FALSE)))))</f>
        <v>0</v>
      </c>
      <c r="D108" s="18" t="b">
        <f>IF('DATA INPUT'!B112="T. ser",0.0615*('DATA INPUT'!F112*'DATA INPUT'!G112)^0.9573,IF('DATA INPUT'!B112="S. mel",46.162*('DATA INPUT'!F112*'DATA INPUT'!G112)^2.3652/1000,IF('DATA INPUT'!B112="V. ref",90.34*('DATA INPUT'!F112*'DATA INPUT'!G112)^1.9756/1000,IF('DATA INPUT'!B112=1,63.022*('DATA INPUT'!F112*'DATA INPUT'!G112)^2.1551/1000,IF('DATA INPUT'!B112=2,0.0615*('DATA INPUT'!F112*'DATA INPUT'!G112)^0.9573,FALSE)))))</f>
        <v>0</v>
      </c>
      <c r="E108" s="8" t="b">
        <f>IF('DATA INPUT'!B112="T. ser",5.0562*('DATA INPUT'!H112*'DATA INPUT'!I112)^0.9574,IF('DATA INPUT'!B112="S. mel",44047*('DATA INPUT'!H112*'DATA INPUT'!I112)^1.5456/1000,IF('DATA INPUT'!B112="V. ref",91930*('DATA INPUT'!H112*'DATA INPUT'!I112)^1.7774/1000,IF('DATA INPUT'!B112=1,62601*('DATA INPUT'!H112*'DATA INPUT'!I112)^1.6463/1000,IF('DATA INPUT'!B112=2,5.0562*('DATA INPUT'!H112*'DATA INPUT'!I112)^0.9574,FALSE)))))</f>
        <v>0</v>
      </c>
      <c r="F108" s="18" t="b">
        <f>IF('DATA INPUT'!B112="T. ser",0.0009*I108^0.4477,IF('DATA INPUT'!B112="S. mel",0.0000004*I108^1.4912/1000,IF('DATA INPUT'!B112="V. ref",0.00000005*I108^1.6284/1000,IF('DATA INPUT'!B112=1,0.0000007*I108^1.4601/1000,IF('DATA INPUT'!B112=2,0.0009*I108^0.4477,FALSE)))))</f>
        <v>0</v>
      </c>
      <c r="G108" s="57">
        <f t="shared" si="10"/>
        <v>0</v>
      </c>
      <c r="H108" s="57"/>
      <c r="I108" s="2" t="b">
        <f>IF('DATA INPUT'!B112="T. ser",3.142*'DATA INPUT'!N112^2*'DATA INPUT'!O112/3+3.142*'DATA INPUT'!P112^2/3*(3*'DATA INPUT'!N112-'DATA INPUT'!P112),IF('DATA INPUT'!B112="S. mel",3.142*'DATA INPUT'!N112^2*'DATA INPUT'!O112/3+3.142*'DATA INPUT'!P112^2/3*(3*'DATA INPUT'!N112-'DATA INPUT'!P112),IF('DATA INPUT'!B112="V. ref",3.142*'DATA INPUT'!N112^2*'DATA INPUT'!O112/3+3.142*'DATA INPUT'!P112^2/3*(3*'DATA INPUT'!N112-'DATA INPUT'!P112),IF('DATA INPUT'!B112=1,3.142*'DATA INPUT'!N112^2*'DATA INPUT'!O112/3+3.142*'DATA INPUT'!P112^2/3*(3*'DATA INPUT'!N112-'DATA INPUT'!P112),IF('DATA INPUT'!B112=2,3.142*'DATA INPUT'!N112^2*'DATA INPUT'!O112/3+3.142*'DATA INPUT'!P112^2/3*(3*'DATA INPUT'!N112-'DATA INPUT'!P112),FALSE)))))</f>
        <v>0</v>
      </c>
      <c r="J108" s="2" t="b">
        <f>IF('DATA INPUT'!B112="T. ser",0.0458*CALCULATIONS!I108^0.6841,IF('DATA INPUT'!B112="S. mel",0.6047*CALCULATIONS!I108^0.6433,IF('DATA INPUT'!B112="V. ref",0.77086*CALCULATIONS!I108^0.4936,IF('DATA INPUT'!B112=1,0.68778*CALCULATIONS!I108^0.56845,IF('DATA INPUT'!B112=2,0.0458*CALCULATIONS!I108^0.6841,FALSE)))))</f>
        <v>0</v>
      </c>
      <c r="K108" s="3">
        <f t="shared" si="8"/>
        <v>0</v>
      </c>
      <c r="L108" s="3" t="b">
        <f>IF('DATA INPUT'!B112="T. ser",('DATA INPUT'!D112+'DATA INPUT'!F112+'DATA INPUT'!H112+'DATA INPUT'!J112)/1.5,IF('DATA INPUT'!B112="V. ref",('DATA INPUT'!D112+'DATA INPUT'!F112+'DATA INPUT'!H112+'DATA INPUT'!J112)/1.5,IF('DATA INPUT'!B112="S. mel",('DATA INPUT'!D112+'DATA INPUT'!F112+'DATA INPUT'!H112+'DATA INPUT'!J112)/1.5,IF('DATA INPUT'!B112=1,('DATA INPUT'!D112+'DATA INPUT'!F112+'DATA INPUT'!H112+'DATA INPUT'!J112)/1.5,IF('DATA INPUT'!B112=2,('DATA INPUT'!D112+'DATA INPUT'!F112+'DATA INPUT'!H112+'DATA INPUT'!J112)/1.5,FALSE)))))</f>
        <v>0</v>
      </c>
      <c r="N108" s="16">
        <f>'DATA INPUT'!C112</f>
        <v>0</v>
      </c>
      <c r="O108" s="3" t="b">
        <f>IF('DATA INPUT'!B112="T. ser",0.3446*'DATA INPUT'!D112^1.0619,IF('DATA INPUT'!B112="S. mel",(1270.6*'DATA INPUT'!D112^2.0933)/1000,IF('DATA INPUT'!B112="V. ref",(816.25*'DATA INPUT'!D112^2.1754)/1000,IF('DATA INPUT'!B112=1,(1492.4*'DATA INPUT'!D112^1.7591)/1000,IF('DATA INPUT'!B112=2,0.3446*'DATA INPUT'!D112^1.0619,FALSE)))))</f>
        <v>0</v>
      </c>
      <c r="P108" s="3" t="b">
        <f>IF('DATA INPUT'!B112="T. ser",0.3662*'DATA INPUT'!E112^1.5061,IF('DATA INPUT'!B112="S. mel",(748.47*'DATA INPUT'!E112^2.2691)/1000,IF('DATA INPUT'!B112="V. ref",(953.69*'DATA INPUT'!E112^1.9524)/1000,IF('DATA INPUT'!B112=1,(695.02*'DATA INPUT'!E112^2.3452)/1000,IF('DATA INPUT'!B112=2,0.3662*'DATA INPUT'!E112^1.5061,FALSE)))))</f>
        <v>0</v>
      </c>
      <c r="Q108" s="3" t="b">
        <f>IF('DATA INPUT'!B112="T. ser",0.1225*('DATA INPUT'!F112*'DATA INPUT'!G112)^0.8272,IF('DATA INPUT'!B112="S. mel",(925.08*('DATA INPUT'!F112*'DATA INPUT'!G112)^1.1603)/1000,IF('DATA INPUT'!B112="V. ref",(776.29*('DATA INPUT'!F112*'DATA INPUT'!G112)^1.1226)/1000,IF('DATA INPUT'!B112=1,(884.6*('DATA INPUT'!F112*'DATA INPUT'!G112)^1.129)/1000,IF('DATA INPUT'!B112=2,0.1225*('DATA INPUT'!F112*'DATA INPUT'!G112)^0.8272,FALSE)))))</f>
        <v>0</v>
      </c>
      <c r="R108" s="3" t="b">
        <f>IF('DATA INPUT'!B112="T. ser",5.5287*('DATA INPUT'!H112*'DATA INPUT'!I112)^0.8272,IF('DATA INPUT'!B112="S. mel",(31469*('DATA INPUT'!H112*'DATA INPUT'!I112)^0.8608)/1000,IF('DATA INPUT'!B112="V. ref",(39394*('DATA INPUT'!H112*'DATA INPUT'!I112)^1.005)/1000,IF('DATA INPUT'!B112=1,(31791*('DATA INPUT'!H112*'DATA INPUT'!I112)^0.8467)/1000,IF('DATA INPUT'!B112=2,5.5287*('DATA INPUT'!H112*'DATA INPUT'!I112)^0.8272,FALSE)))))</f>
        <v>0</v>
      </c>
      <c r="S108" s="3" t="b">
        <f>IF('DATA INPUT'!B112="T. ser",0.0005*I108^0.5148,IF('DATA INPUT'!B112="S. mel",0.051*I108^0.7789/1000,IF('DATA INPUT'!B112="V. ref",0.0958*I108^0.7253/1000,IF('DATA INPUT'!B112=1,0.0426*I108^0.786/1000,IF('DATA INPUT'!B112=2,0.0005*I108^0.5148,FALSE)))))</f>
        <v>0</v>
      </c>
      <c r="T108" s="59">
        <f t="shared" si="9"/>
        <v>0</v>
      </c>
    </row>
    <row r="109" spans="1:20" x14ac:dyDescent="0.2">
      <c r="A109" s="218">
        <f>'DATA INPUT'!C113</f>
        <v>0</v>
      </c>
      <c r="B109" s="11" t="b">
        <f>IF('DATA INPUT'!B113="T. ser",0.1656*'DATA INPUT'!D113^1.4655,IF('DATA INPUT'!B113="S. mel",135.53*'DATA INPUT'!D113^3.8701/1000,IF('DATA INPUT'!B113="V. ref",143.01*'DATA INPUT'!D113^3.3147/1000,IF('DATA INPUT'!B113=1,143.35*'DATA INPUT'!D113^3.6046/1000,IF('DATA INPUT'!B113=2,0.1656*'DATA INPUT'!D113^1.4655,FALSE)))))</f>
        <v>0</v>
      </c>
      <c r="C109" s="8" t="b">
        <f>IF('DATA INPUT'!B113="T. ser",0.3356*'DATA INPUT'!E113^0.9984,IF('DATA INPUT'!B113="S. mel",24.906*'DATA INPUT'!E113^4.7681/1000,IF('DATA INPUT'!B113="V. ref",118.45*'DATA INPUT'!E113^3.5959/1000,IF('DATA INPUT'!B113=1,55.075*'DATA INPUT'!E113^4.0991/1000,IF('DATA INPUT'!B113=2,0.3356*'DATA INPUT'!E113^0.9984,FALSE)))))</f>
        <v>0</v>
      </c>
      <c r="D109" s="18" t="b">
        <f>IF('DATA INPUT'!B113="T. ser",0.0615*('DATA INPUT'!F113*'DATA INPUT'!G113)^0.9573,IF('DATA INPUT'!B113="S. mel",46.162*('DATA INPUT'!F113*'DATA INPUT'!G113)^2.3652/1000,IF('DATA INPUT'!B113="V. ref",90.34*('DATA INPUT'!F113*'DATA INPUT'!G113)^1.9756/1000,IF('DATA INPUT'!B113=1,63.022*('DATA INPUT'!F113*'DATA INPUT'!G113)^2.1551/1000,IF('DATA INPUT'!B113=2,0.0615*('DATA INPUT'!F113*'DATA INPUT'!G113)^0.9573,FALSE)))))</f>
        <v>0</v>
      </c>
      <c r="E109" s="8" t="b">
        <f>IF('DATA INPUT'!B113="T. ser",5.0562*('DATA INPUT'!H113*'DATA INPUT'!I113)^0.9574,IF('DATA INPUT'!B113="S. mel",44047*('DATA INPUT'!H113*'DATA INPUT'!I113)^1.5456/1000,IF('DATA INPUT'!B113="V. ref",91930*('DATA INPUT'!H113*'DATA INPUT'!I113)^1.7774/1000,IF('DATA INPUT'!B113=1,62601*('DATA INPUT'!H113*'DATA INPUT'!I113)^1.6463/1000,IF('DATA INPUT'!B113=2,5.0562*('DATA INPUT'!H113*'DATA INPUT'!I113)^0.9574,FALSE)))))</f>
        <v>0</v>
      </c>
      <c r="F109" s="18" t="b">
        <f>IF('DATA INPUT'!B113="T. ser",0.0009*I109^0.4477,IF('DATA INPUT'!B113="S. mel",0.0000004*I109^1.4912/1000,IF('DATA INPUT'!B113="V. ref",0.00000005*I109^1.6284/1000,IF('DATA INPUT'!B113=1,0.0000007*I109^1.4601/1000,IF('DATA INPUT'!B113=2,0.0009*I109^0.4477,FALSE)))))</f>
        <v>0</v>
      </c>
      <c r="G109" s="57">
        <f t="shared" si="10"/>
        <v>0</v>
      </c>
      <c r="H109" s="57"/>
      <c r="I109" s="2" t="b">
        <f>IF('DATA INPUT'!B113="T. ser",3.142*'DATA INPUT'!N113^2*'DATA INPUT'!O113/3+3.142*'DATA INPUT'!P113^2/3*(3*'DATA INPUT'!N113-'DATA INPUT'!P113),IF('DATA INPUT'!B113="S. mel",3.142*'DATA INPUT'!N113^2*'DATA INPUT'!O113/3+3.142*'DATA INPUT'!P113^2/3*(3*'DATA INPUT'!N113-'DATA INPUT'!P113),IF('DATA INPUT'!B113="V. ref",3.142*'DATA INPUT'!N113^2*'DATA INPUT'!O113/3+3.142*'DATA INPUT'!P113^2/3*(3*'DATA INPUT'!N113-'DATA INPUT'!P113),IF('DATA INPUT'!B113=1,3.142*'DATA INPUT'!N113^2*'DATA INPUT'!O113/3+3.142*'DATA INPUT'!P113^2/3*(3*'DATA INPUT'!N113-'DATA INPUT'!P113),IF('DATA INPUT'!B113=2,3.142*'DATA INPUT'!N113^2*'DATA INPUT'!O113/3+3.142*'DATA INPUT'!P113^2/3*(3*'DATA INPUT'!N113-'DATA INPUT'!P113),FALSE)))))</f>
        <v>0</v>
      </c>
      <c r="J109" s="2" t="b">
        <f>IF('DATA INPUT'!B113="T. ser",0.0458*CALCULATIONS!I109^0.6841,IF('DATA INPUT'!B113="S. mel",0.6047*CALCULATIONS!I109^0.6433,IF('DATA INPUT'!B113="V. ref",0.77086*CALCULATIONS!I109^0.4936,IF('DATA INPUT'!B113=1,0.68778*CALCULATIONS!I109^0.56845,IF('DATA INPUT'!B113=2,0.0458*CALCULATIONS!I109^0.6841,FALSE)))))</f>
        <v>0</v>
      </c>
      <c r="K109" s="3">
        <f t="shared" si="8"/>
        <v>0</v>
      </c>
      <c r="L109" s="3" t="b">
        <f>IF('DATA INPUT'!B113="T. ser",('DATA INPUT'!D113+'DATA INPUT'!F113+'DATA INPUT'!H113+'DATA INPUT'!J113)/1.5,IF('DATA INPUT'!B113="V. ref",('DATA INPUT'!D113+'DATA INPUT'!F113+'DATA INPUT'!H113+'DATA INPUT'!J113)/1.5,IF('DATA INPUT'!B113="S. mel",('DATA INPUT'!D113+'DATA INPUT'!F113+'DATA INPUT'!H113+'DATA INPUT'!J113)/1.5,IF('DATA INPUT'!B113=1,('DATA INPUT'!D113+'DATA INPUT'!F113+'DATA INPUT'!H113+'DATA INPUT'!J113)/1.5,IF('DATA INPUT'!B113=2,('DATA INPUT'!D113+'DATA INPUT'!F113+'DATA INPUT'!H113+'DATA INPUT'!J113)/1.5,FALSE)))))</f>
        <v>0</v>
      </c>
      <c r="N109" s="16">
        <f>'DATA INPUT'!C113</f>
        <v>0</v>
      </c>
      <c r="O109" s="3" t="b">
        <f>IF('DATA INPUT'!B113="T. ser",0.3446*'DATA INPUT'!D113^1.0619,IF('DATA INPUT'!B113="S. mel",(1270.6*'DATA INPUT'!D113^2.0933)/1000,IF('DATA INPUT'!B113="V. ref",(816.25*'DATA INPUT'!D113^2.1754)/1000,IF('DATA INPUT'!B113=1,(1492.4*'DATA INPUT'!D113^1.7591)/1000,IF('DATA INPUT'!B113=2,0.3446*'DATA INPUT'!D113^1.0619,FALSE)))))</f>
        <v>0</v>
      </c>
      <c r="P109" s="3" t="b">
        <f>IF('DATA INPUT'!B113="T. ser",0.3662*'DATA INPUT'!E113^1.5061,IF('DATA INPUT'!B113="S. mel",(748.47*'DATA INPUT'!E113^2.2691)/1000,IF('DATA INPUT'!B113="V. ref",(953.69*'DATA INPUT'!E113^1.9524)/1000,IF('DATA INPUT'!B113=1,(695.02*'DATA INPUT'!E113^2.3452)/1000,IF('DATA INPUT'!B113=2,0.3662*'DATA INPUT'!E113^1.5061,FALSE)))))</f>
        <v>0</v>
      </c>
      <c r="Q109" s="3" t="b">
        <f>IF('DATA INPUT'!B113="T. ser",0.1225*('DATA INPUT'!F113*'DATA INPUT'!G113)^0.8272,IF('DATA INPUT'!B113="S. mel",(925.08*('DATA INPUT'!F113*'DATA INPUT'!G113)^1.1603)/1000,IF('DATA INPUT'!B113="V. ref",(776.29*('DATA INPUT'!F113*'DATA INPUT'!G113)^1.1226)/1000,IF('DATA INPUT'!B113=1,(884.6*('DATA INPUT'!F113*'DATA INPUT'!G113)^1.129)/1000,IF('DATA INPUT'!B113=2,0.1225*('DATA INPUT'!F113*'DATA INPUT'!G113)^0.8272,FALSE)))))</f>
        <v>0</v>
      </c>
      <c r="R109" s="3" t="b">
        <f>IF('DATA INPUT'!B113="T. ser",5.5287*('DATA INPUT'!H113*'DATA INPUT'!I113)^0.8272,IF('DATA INPUT'!B113="S. mel",(31469*('DATA INPUT'!H113*'DATA INPUT'!I113)^0.8608)/1000,IF('DATA INPUT'!B113="V. ref",(39394*('DATA INPUT'!H113*'DATA INPUT'!I113)^1.005)/1000,IF('DATA INPUT'!B113=1,(31791*('DATA INPUT'!H113*'DATA INPUT'!I113)^0.8467)/1000,IF('DATA INPUT'!B113=2,5.5287*('DATA INPUT'!H113*'DATA INPUT'!I113)^0.8272,FALSE)))))</f>
        <v>0</v>
      </c>
      <c r="S109" s="3" t="b">
        <f>IF('DATA INPUT'!B113="T. ser",0.0005*I109^0.5148,IF('DATA INPUT'!B113="S. mel",0.051*I109^0.7789/1000,IF('DATA INPUT'!B113="V. ref",0.0958*I109^0.7253/1000,IF('DATA INPUT'!B113=1,0.0426*I109^0.786/1000,IF('DATA INPUT'!B113=2,0.0005*I109^0.5148,FALSE)))))</f>
        <v>0</v>
      </c>
      <c r="T109" s="59">
        <f t="shared" si="9"/>
        <v>0</v>
      </c>
    </row>
    <row r="110" spans="1:20" x14ac:dyDescent="0.2">
      <c r="A110" s="218">
        <f>'DATA INPUT'!C114</f>
        <v>0</v>
      </c>
      <c r="B110" s="11" t="b">
        <f>IF('DATA INPUT'!B114="T. ser",0.1656*'DATA INPUT'!D114^1.4655,IF('DATA INPUT'!B114="S. mel",135.53*'DATA INPUT'!D114^3.8701/1000,IF('DATA INPUT'!B114="V. ref",143.01*'DATA INPUT'!D114^3.3147/1000,IF('DATA INPUT'!B114=1,143.35*'DATA INPUT'!D114^3.6046/1000,IF('DATA INPUT'!B114=2,0.1656*'DATA INPUT'!D114^1.4655,FALSE)))))</f>
        <v>0</v>
      </c>
      <c r="C110" s="8" t="b">
        <f>IF('DATA INPUT'!B114="T. ser",0.3356*'DATA INPUT'!E114^0.9984,IF('DATA INPUT'!B114="S. mel",24.906*'DATA INPUT'!E114^4.7681/1000,IF('DATA INPUT'!B114="V. ref",118.45*'DATA INPUT'!E114^3.5959/1000,IF('DATA INPUT'!B114=1,55.075*'DATA INPUT'!E114^4.0991/1000,IF('DATA INPUT'!B114=2,0.3356*'DATA INPUT'!E114^0.9984,FALSE)))))</f>
        <v>0</v>
      </c>
      <c r="D110" s="18" t="b">
        <f>IF('DATA INPUT'!B114="T. ser",0.0615*('DATA INPUT'!F114*'DATA INPUT'!G114)^0.9573,IF('DATA INPUT'!B114="S. mel",46.162*('DATA INPUT'!F114*'DATA INPUT'!G114)^2.3652/1000,IF('DATA INPUT'!B114="V. ref",90.34*('DATA INPUT'!F114*'DATA INPUT'!G114)^1.9756/1000,IF('DATA INPUT'!B114=1,63.022*('DATA INPUT'!F114*'DATA INPUT'!G114)^2.1551/1000,IF('DATA INPUT'!B114=2,0.0615*('DATA INPUT'!F114*'DATA INPUT'!G114)^0.9573,FALSE)))))</f>
        <v>0</v>
      </c>
      <c r="E110" s="8" t="b">
        <f>IF('DATA INPUT'!B114="T. ser",5.0562*('DATA INPUT'!H114*'DATA INPUT'!I114)^0.9574,IF('DATA INPUT'!B114="S. mel",44047*('DATA INPUT'!H114*'DATA INPUT'!I114)^1.5456/1000,IF('DATA INPUT'!B114="V. ref",91930*('DATA INPUT'!H114*'DATA INPUT'!I114)^1.7774/1000,IF('DATA INPUT'!B114=1,62601*('DATA INPUT'!H114*'DATA INPUT'!I114)^1.6463/1000,IF('DATA INPUT'!B114=2,5.0562*('DATA INPUT'!H114*'DATA INPUT'!I114)^0.9574,FALSE)))))</f>
        <v>0</v>
      </c>
      <c r="F110" s="18" t="b">
        <f>IF('DATA INPUT'!B114="T. ser",0.0009*I110^0.4477,IF('DATA INPUT'!B114="S. mel",0.0000004*I110^1.4912/1000,IF('DATA INPUT'!B114="V. ref",0.00000005*I110^1.6284/1000,IF('DATA INPUT'!B114=1,0.0000007*I110^1.4601/1000,IF('DATA INPUT'!B114=2,0.0009*I110^0.4477,FALSE)))))</f>
        <v>0</v>
      </c>
      <c r="G110" s="57">
        <f t="shared" ref="G110:G122" si="11">SUM(B110:F110)</f>
        <v>0</v>
      </c>
      <c r="H110" s="57"/>
      <c r="I110" s="2" t="b">
        <f>IF('DATA INPUT'!B114="T. ser",3.142*'DATA INPUT'!N114^2*'DATA INPUT'!O114/3+3.142*'DATA INPUT'!P114^2/3*(3*'DATA INPUT'!N114-'DATA INPUT'!P114),IF('DATA INPUT'!B114="S. mel",3.142*'DATA INPUT'!N114^2*'DATA INPUT'!O114/3+3.142*'DATA INPUT'!P114^2/3*(3*'DATA INPUT'!N114-'DATA INPUT'!P114),IF('DATA INPUT'!B114="V. ref",3.142*'DATA INPUT'!N114^2*'DATA INPUT'!O114/3+3.142*'DATA INPUT'!P114^2/3*(3*'DATA INPUT'!N114-'DATA INPUT'!P114),IF('DATA INPUT'!B114=1,3.142*'DATA INPUT'!N114^2*'DATA INPUT'!O114/3+3.142*'DATA INPUT'!P114^2/3*(3*'DATA INPUT'!N114-'DATA INPUT'!P114),IF('DATA INPUT'!B114=2,3.142*'DATA INPUT'!N114^2*'DATA INPUT'!O114/3+3.142*'DATA INPUT'!P114^2/3*(3*'DATA INPUT'!N114-'DATA INPUT'!P114),FALSE)))))</f>
        <v>0</v>
      </c>
      <c r="J110" s="2" t="b">
        <f>IF('DATA INPUT'!B114="T. ser",0.0458*CALCULATIONS!I110^0.6841,IF('DATA INPUT'!B114="S. mel",0.6047*CALCULATIONS!I110^0.6433,IF('DATA INPUT'!B114="V. ref",0.77086*CALCULATIONS!I110^0.4936,IF('DATA INPUT'!B114=1,0.68778*CALCULATIONS!I110^0.56845,IF('DATA INPUT'!B114=2,0.0458*CALCULATIONS!I110^0.6841,FALSE)))))</f>
        <v>0</v>
      </c>
      <c r="K110" s="3">
        <f t="shared" si="8"/>
        <v>0</v>
      </c>
      <c r="L110" s="3" t="b">
        <f>IF('DATA INPUT'!B114="T. ser",('DATA INPUT'!D114+'DATA INPUT'!F114+'DATA INPUT'!H114+'DATA INPUT'!J114)/1.5,IF('DATA INPUT'!B114="V. ref",('DATA INPUT'!D114+'DATA INPUT'!F114+'DATA INPUT'!H114+'DATA INPUT'!J114)/1.5,IF('DATA INPUT'!B114="S. mel",('DATA INPUT'!D114+'DATA INPUT'!F114+'DATA INPUT'!H114+'DATA INPUT'!J114)/1.5,IF('DATA INPUT'!B114=1,('DATA INPUT'!D114+'DATA INPUT'!F114+'DATA INPUT'!H114+'DATA INPUT'!J114)/1.5,IF('DATA INPUT'!B114=2,('DATA INPUT'!D114+'DATA INPUT'!F114+'DATA INPUT'!H114+'DATA INPUT'!J114)/1.5,FALSE)))))</f>
        <v>0</v>
      </c>
      <c r="N110" s="16">
        <f>'DATA INPUT'!C114</f>
        <v>0</v>
      </c>
      <c r="O110" s="3" t="b">
        <f>IF('DATA INPUT'!B114="T. ser",0.3446*'DATA INPUT'!D114^1.0619,IF('DATA INPUT'!B114="S. mel",(1270.6*'DATA INPUT'!D114^2.0933)/1000,IF('DATA INPUT'!B114="V. ref",(816.25*'DATA INPUT'!D114^2.1754)/1000,IF('DATA INPUT'!B114=1,(1492.4*'DATA INPUT'!D114^1.7591)/1000,IF('DATA INPUT'!B114=2,0.3446*'DATA INPUT'!D114^1.0619,FALSE)))))</f>
        <v>0</v>
      </c>
      <c r="P110" s="3" t="b">
        <f>IF('DATA INPUT'!B114="T. ser",0.3662*'DATA INPUT'!E114^1.5061,IF('DATA INPUT'!B114="S. mel",(748.47*'DATA INPUT'!E114^2.2691)/1000,IF('DATA INPUT'!B114="V. ref",(953.69*'DATA INPUT'!E114^1.9524)/1000,IF('DATA INPUT'!B114=1,(695.02*'DATA INPUT'!E114^2.3452)/1000,IF('DATA INPUT'!B114=2,0.3662*'DATA INPUT'!E114^1.5061,FALSE)))))</f>
        <v>0</v>
      </c>
      <c r="Q110" s="3" t="b">
        <f>IF('DATA INPUT'!B114="T. ser",0.1225*('DATA INPUT'!F114*'DATA INPUT'!G114)^0.8272,IF('DATA INPUT'!B114="S. mel",(925.08*('DATA INPUT'!F114*'DATA INPUT'!G114)^1.1603)/1000,IF('DATA INPUT'!B114="V. ref",(776.29*('DATA INPUT'!F114*'DATA INPUT'!G114)^1.1226)/1000,IF('DATA INPUT'!B114=1,(884.6*('DATA INPUT'!F114*'DATA INPUT'!G114)^1.129)/1000,IF('DATA INPUT'!B114=2,0.1225*('DATA INPUT'!F114*'DATA INPUT'!G114)^0.8272,FALSE)))))</f>
        <v>0</v>
      </c>
      <c r="R110" s="3" t="b">
        <f>IF('DATA INPUT'!B114="T. ser",5.5287*('DATA INPUT'!H114*'DATA INPUT'!I114)^0.8272,IF('DATA INPUT'!B114="S. mel",(31469*('DATA INPUT'!H114*'DATA INPUT'!I114)^0.8608)/1000,IF('DATA INPUT'!B114="V. ref",(39394*('DATA INPUT'!H114*'DATA INPUT'!I114)^1.005)/1000,IF('DATA INPUT'!B114=1,(31791*('DATA INPUT'!H114*'DATA INPUT'!I114)^0.8467)/1000,IF('DATA INPUT'!B114=2,5.5287*('DATA INPUT'!H114*'DATA INPUT'!I114)^0.8272,FALSE)))))</f>
        <v>0</v>
      </c>
      <c r="S110" s="3" t="b">
        <f>IF('DATA INPUT'!B114="T. ser",0.0005*I110^0.5148,IF('DATA INPUT'!B114="S. mel",0.051*I110^0.7789/1000,IF('DATA INPUT'!B114="V. ref",0.0958*I110^0.7253/1000,IF('DATA INPUT'!B114=1,0.0426*I110^0.786/1000,IF('DATA INPUT'!B114=2,0.0005*I110^0.5148,FALSE)))))</f>
        <v>0</v>
      </c>
      <c r="T110" s="59">
        <f t="shared" si="9"/>
        <v>0</v>
      </c>
    </row>
    <row r="111" spans="1:20" x14ac:dyDescent="0.2">
      <c r="A111" s="218">
        <f>'DATA INPUT'!C115</f>
        <v>0</v>
      </c>
      <c r="B111" s="11" t="b">
        <f>IF('DATA INPUT'!B115="T. ser",0.1656*'DATA INPUT'!D115^1.4655,IF('DATA INPUT'!B115="S. mel",135.53*'DATA INPUT'!D115^3.8701/1000,IF('DATA INPUT'!B115="V. ref",143.01*'DATA INPUT'!D115^3.3147/1000,IF('DATA INPUT'!B115=1,143.35*'DATA INPUT'!D115^3.6046/1000,IF('DATA INPUT'!B115=2,0.1656*'DATA INPUT'!D115^1.4655,FALSE)))))</f>
        <v>0</v>
      </c>
      <c r="C111" s="8" t="b">
        <f>IF('DATA INPUT'!B115="T. ser",0.3356*'DATA INPUT'!E115^0.9984,IF('DATA INPUT'!B115="S. mel",24.906*'DATA INPUT'!E115^4.7681/1000,IF('DATA INPUT'!B115="V. ref",118.45*'DATA INPUT'!E115^3.5959/1000,IF('DATA INPUT'!B115=1,55.075*'DATA INPUT'!E115^4.0991/1000,IF('DATA INPUT'!B115=2,0.3356*'DATA INPUT'!E115^0.9984,FALSE)))))</f>
        <v>0</v>
      </c>
      <c r="D111" s="18" t="b">
        <f>IF('DATA INPUT'!B115="T. ser",0.0615*('DATA INPUT'!F115*'DATA INPUT'!G115)^0.9573,IF('DATA INPUT'!B115="S. mel",46.162*('DATA INPUT'!F115*'DATA INPUT'!G115)^2.3652/1000,IF('DATA INPUT'!B115="V. ref",90.34*('DATA INPUT'!F115*'DATA INPUT'!G115)^1.9756/1000,IF('DATA INPUT'!B115=1,63.022*('DATA INPUT'!F115*'DATA INPUT'!G115)^2.1551/1000,IF('DATA INPUT'!B115=2,0.0615*('DATA INPUT'!F115*'DATA INPUT'!G115)^0.9573,FALSE)))))</f>
        <v>0</v>
      </c>
      <c r="E111" s="8" t="b">
        <f>IF('DATA INPUT'!B115="T. ser",5.0562*('DATA INPUT'!H115*'DATA INPUT'!I115)^0.9574,IF('DATA INPUT'!B115="S. mel",44047*('DATA INPUT'!H115*'DATA INPUT'!I115)^1.5456/1000,IF('DATA INPUT'!B115="V. ref",91930*('DATA INPUT'!H115*'DATA INPUT'!I115)^1.7774/1000,IF('DATA INPUT'!B115=1,62601*('DATA INPUT'!H115*'DATA INPUT'!I115)^1.6463/1000,IF('DATA INPUT'!B115=2,5.0562*('DATA INPUT'!H115*'DATA INPUT'!I115)^0.9574,FALSE)))))</f>
        <v>0</v>
      </c>
      <c r="F111" s="18" t="b">
        <f>IF('DATA INPUT'!B115="T. ser",0.0009*I111^0.4477,IF('DATA INPUT'!B115="S. mel",0.0000004*I111^1.4912/1000,IF('DATA INPUT'!B115="V. ref",0.00000005*I111^1.6284/1000,IF('DATA INPUT'!B115=1,0.0000007*I111^1.4601/1000,IF('DATA INPUT'!B115=2,0.0009*I111^0.4477,FALSE)))))</f>
        <v>0</v>
      </c>
      <c r="G111" s="57">
        <f t="shared" si="11"/>
        <v>0</v>
      </c>
      <c r="H111" s="57"/>
      <c r="I111" s="2" t="b">
        <f>IF('DATA INPUT'!B115="T. ser",3.142*'DATA INPUT'!N115^2*'DATA INPUT'!O115/3+3.142*'DATA INPUT'!P115^2/3*(3*'DATA INPUT'!N115-'DATA INPUT'!P115),IF('DATA INPUT'!B115="S. mel",3.142*'DATA INPUT'!N115^2*'DATA INPUT'!O115/3+3.142*'DATA INPUT'!P115^2/3*(3*'DATA INPUT'!N115-'DATA INPUT'!P115),IF('DATA INPUT'!B115="V. ref",3.142*'DATA INPUT'!N115^2*'DATA INPUT'!O115/3+3.142*'DATA INPUT'!P115^2/3*(3*'DATA INPUT'!N115-'DATA INPUT'!P115),IF('DATA INPUT'!B115=1,3.142*'DATA INPUT'!N115^2*'DATA INPUT'!O115/3+3.142*'DATA INPUT'!P115^2/3*(3*'DATA INPUT'!N115-'DATA INPUT'!P115),IF('DATA INPUT'!B115=2,3.142*'DATA INPUT'!N115^2*'DATA INPUT'!O115/3+3.142*'DATA INPUT'!P115^2/3*(3*'DATA INPUT'!N115-'DATA INPUT'!P115),FALSE)))))</f>
        <v>0</v>
      </c>
      <c r="J111" s="2" t="b">
        <f>IF('DATA INPUT'!B115="T. ser",0.0458*CALCULATIONS!I111^0.6841,IF('DATA INPUT'!B115="S. mel",0.6047*CALCULATIONS!I111^0.6433,IF('DATA INPUT'!B115="V. ref",0.77086*CALCULATIONS!I111^0.4936,IF('DATA INPUT'!B115=1,0.68778*CALCULATIONS!I111^0.56845,IF('DATA INPUT'!B115=2,0.0458*CALCULATIONS!I111^0.6841,FALSE)))))</f>
        <v>0</v>
      </c>
      <c r="K111" s="3">
        <f t="shared" si="8"/>
        <v>0</v>
      </c>
      <c r="L111" s="3" t="b">
        <f>IF('DATA INPUT'!B115="T. ser",('DATA INPUT'!D115+'DATA INPUT'!F115+'DATA INPUT'!H115+'DATA INPUT'!J115)/1.5,IF('DATA INPUT'!B115="V. ref",('DATA INPUT'!D115+'DATA INPUT'!F115+'DATA INPUT'!H115+'DATA INPUT'!J115)/1.5,IF('DATA INPUT'!B115="S. mel",('DATA INPUT'!D115+'DATA INPUT'!F115+'DATA INPUT'!H115+'DATA INPUT'!J115)/1.5,IF('DATA INPUT'!B115=1,('DATA INPUT'!D115+'DATA INPUT'!F115+'DATA INPUT'!H115+'DATA INPUT'!J115)/1.5,IF('DATA INPUT'!B115=2,('DATA INPUT'!D115+'DATA INPUT'!F115+'DATA INPUT'!H115+'DATA INPUT'!J115)/1.5,FALSE)))))</f>
        <v>0</v>
      </c>
      <c r="N111" s="16">
        <f>'DATA INPUT'!C115</f>
        <v>0</v>
      </c>
      <c r="O111" s="3" t="b">
        <f>IF('DATA INPUT'!B115="T. ser",0.3446*'DATA INPUT'!D115^1.0619,IF('DATA INPUT'!B115="S. mel",(1270.6*'DATA INPUT'!D115^2.0933)/1000,IF('DATA INPUT'!B115="V. ref",(816.25*'DATA INPUT'!D115^2.1754)/1000,IF('DATA INPUT'!B115=1,(1492.4*'DATA INPUT'!D115^1.7591)/1000,IF('DATA INPUT'!B115=2,0.3446*'DATA INPUT'!D115^1.0619,FALSE)))))</f>
        <v>0</v>
      </c>
      <c r="P111" s="3" t="b">
        <f>IF('DATA INPUT'!B115="T. ser",0.3662*'DATA INPUT'!E115^1.5061,IF('DATA INPUT'!B115="S. mel",(748.47*'DATA INPUT'!E115^2.2691)/1000,IF('DATA INPUT'!B115="V. ref",(953.69*'DATA INPUT'!E115^1.9524)/1000,IF('DATA INPUT'!B115=1,(695.02*'DATA INPUT'!E115^2.3452)/1000,IF('DATA INPUT'!B115=2,0.3662*'DATA INPUT'!E115^1.5061,FALSE)))))</f>
        <v>0</v>
      </c>
      <c r="Q111" s="3" t="b">
        <f>IF('DATA INPUT'!B115="T. ser",0.1225*('DATA INPUT'!F115*'DATA INPUT'!G115)^0.8272,IF('DATA INPUT'!B115="S. mel",(925.08*('DATA INPUT'!F115*'DATA INPUT'!G115)^1.1603)/1000,IF('DATA INPUT'!B115="V. ref",(776.29*('DATA INPUT'!F115*'DATA INPUT'!G115)^1.1226)/1000,IF('DATA INPUT'!B115=1,(884.6*('DATA INPUT'!F115*'DATA INPUT'!G115)^1.129)/1000,IF('DATA INPUT'!B115=2,0.1225*('DATA INPUT'!F115*'DATA INPUT'!G115)^0.8272,FALSE)))))</f>
        <v>0</v>
      </c>
      <c r="R111" s="3" t="b">
        <f>IF('DATA INPUT'!B115="T. ser",5.5287*('DATA INPUT'!H115*'DATA INPUT'!I115)^0.8272,IF('DATA INPUT'!B115="S. mel",(31469*('DATA INPUT'!H115*'DATA INPUT'!I115)^0.8608)/1000,IF('DATA INPUT'!B115="V. ref",(39394*('DATA INPUT'!H115*'DATA INPUT'!I115)^1.005)/1000,IF('DATA INPUT'!B115=1,(31791*('DATA INPUT'!H115*'DATA INPUT'!I115)^0.8467)/1000,IF('DATA INPUT'!B115=2,5.5287*('DATA INPUT'!H115*'DATA INPUT'!I115)^0.8272,FALSE)))))</f>
        <v>0</v>
      </c>
      <c r="S111" s="3" t="b">
        <f>IF('DATA INPUT'!B115="T. ser",0.0005*I111^0.5148,IF('DATA INPUT'!B115="S. mel",0.051*I111^0.7789/1000,IF('DATA INPUT'!B115="V. ref",0.0958*I111^0.7253/1000,IF('DATA INPUT'!B115=1,0.0426*I111^0.786/1000,IF('DATA INPUT'!B115=2,0.0005*I111^0.5148,FALSE)))))</f>
        <v>0</v>
      </c>
      <c r="T111" s="59">
        <f t="shared" si="9"/>
        <v>0</v>
      </c>
    </row>
    <row r="112" spans="1:20" x14ac:dyDescent="0.2">
      <c r="A112" s="218">
        <f>'DATA INPUT'!C116</f>
        <v>0</v>
      </c>
      <c r="B112" s="11" t="b">
        <f>IF('DATA INPUT'!B116="T. ser",0.1656*'DATA INPUT'!D116^1.4655,IF('DATA INPUT'!B116="S. mel",135.53*'DATA INPUT'!D116^3.8701/1000,IF('DATA INPUT'!B116="V. ref",143.01*'DATA INPUT'!D116^3.3147/1000,IF('DATA INPUT'!B116=1,143.35*'DATA INPUT'!D116^3.6046/1000,IF('DATA INPUT'!B116=2,0.1656*'DATA INPUT'!D116^1.4655,FALSE)))))</f>
        <v>0</v>
      </c>
      <c r="C112" s="8" t="b">
        <f>IF('DATA INPUT'!B116="T. ser",0.3356*'DATA INPUT'!E116^0.9984,IF('DATA INPUT'!B116="S. mel",24.906*'DATA INPUT'!E116^4.7681/1000,IF('DATA INPUT'!B116="V. ref",118.45*'DATA INPUT'!E116^3.5959/1000,IF('DATA INPUT'!B116=1,55.075*'DATA INPUT'!E116^4.0991/1000,IF('DATA INPUT'!B116=2,0.3356*'DATA INPUT'!E116^0.9984,FALSE)))))</f>
        <v>0</v>
      </c>
      <c r="D112" s="18" t="b">
        <f>IF('DATA INPUT'!B116="T. ser",0.0615*('DATA INPUT'!F116*'DATA INPUT'!G116)^0.9573,IF('DATA INPUT'!B116="S. mel",46.162*('DATA INPUT'!F116*'DATA INPUT'!G116)^2.3652/1000,IF('DATA INPUT'!B116="V. ref",90.34*('DATA INPUT'!F116*'DATA INPUT'!G116)^1.9756/1000,IF('DATA INPUT'!B116=1,63.022*('DATA INPUT'!F116*'DATA INPUT'!G116)^2.1551/1000,IF('DATA INPUT'!B116=2,0.0615*('DATA INPUT'!F116*'DATA INPUT'!G116)^0.9573,FALSE)))))</f>
        <v>0</v>
      </c>
      <c r="E112" s="8" t="b">
        <f>IF('DATA INPUT'!B116="T. ser",5.0562*('DATA INPUT'!H116*'DATA INPUT'!I116)^0.9574,IF('DATA INPUT'!B116="S. mel",44047*('DATA INPUT'!H116*'DATA INPUT'!I116)^1.5456/1000,IF('DATA INPUT'!B116="V. ref",91930*('DATA INPUT'!H116*'DATA INPUT'!I116)^1.7774/1000,IF('DATA INPUT'!B116=1,62601*('DATA INPUT'!H116*'DATA INPUT'!I116)^1.6463/1000,IF('DATA INPUT'!B116=2,5.0562*('DATA INPUT'!H116*'DATA INPUT'!I116)^0.9574,FALSE)))))</f>
        <v>0</v>
      </c>
      <c r="F112" s="18" t="b">
        <f>IF('DATA INPUT'!B116="T. ser",0.0009*I112^0.4477,IF('DATA INPUT'!B116="S. mel",0.0000004*I112^1.4912/1000,IF('DATA INPUT'!B116="V. ref",0.00000005*I112^1.6284/1000,IF('DATA INPUT'!B116=1,0.0000007*I112^1.4601/1000,IF('DATA INPUT'!B116=2,0.0009*I112^0.4477,FALSE)))))</f>
        <v>0</v>
      </c>
      <c r="G112" s="57">
        <f t="shared" si="11"/>
        <v>0</v>
      </c>
      <c r="H112" s="57"/>
      <c r="I112" s="2" t="b">
        <f>IF('DATA INPUT'!B116="T. ser",3.142*'DATA INPUT'!N116^2*'DATA INPUT'!O116/3+3.142*'DATA INPUT'!P116^2/3*(3*'DATA INPUT'!N116-'DATA INPUT'!P116),IF('DATA INPUT'!B116="S. mel",3.142*'DATA INPUT'!N116^2*'DATA INPUT'!O116/3+3.142*'DATA INPUT'!P116^2/3*(3*'DATA INPUT'!N116-'DATA INPUT'!P116),IF('DATA INPUT'!B116="V. ref",3.142*'DATA INPUT'!N116^2*'DATA INPUT'!O116/3+3.142*'DATA INPUT'!P116^2/3*(3*'DATA INPUT'!N116-'DATA INPUT'!P116),IF('DATA INPUT'!B116=1,3.142*'DATA INPUT'!N116^2*'DATA INPUT'!O116/3+3.142*'DATA INPUT'!P116^2/3*(3*'DATA INPUT'!N116-'DATA INPUT'!P116),IF('DATA INPUT'!B116=2,3.142*'DATA INPUT'!N116^2*'DATA INPUT'!O116/3+3.142*'DATA INPUT'!P116^2/3*(3*'DATA INPUT'!N116-'DATA INPUT'!P116),FALSE)))))</f>
        <v>0</v>
      </c>
      <c r="J112" s="2" t="b">
        <f>IF('DATA INPUT'!B116="T. ser",0.0458*CALCULATIONS!I112^0.6841,IF('DATA INPUT'!B116="S. mel",0.6047*CALCULATIONS!I112^0.6433,IF('DATA INPUT'!B116="V. ref",0.77086*CALCULATIONS!I112^0.4936,IF('DATA INPUT'!B116=1,0.68778*CALCULATIONS!I112^0.56845,IF('DATA INPUT'!B116=2,0.0458*CALCULATIONS!I112^0.6841,FALSE)))))</f>
        <v>0</v>
      </c>
      <c r="K112" s="3">
        <f t="shared" si="8"/>
        <v>0</v>
      </c>
      <c r="L112" s="3" t="b">
        <f>IF('DATA INPUT'!B116="T. ser",('DATA INPUT'!D116+'DATA INPUT'!F116+'DATA INPUT'!H116+'DATA INPUT'!J116)/1.5,IF('DATA INPUT'!B116="V. ref",('DATA INPUT'!D116+'DATA INPUT'!F116+'DATA INPUT'!H116+'DATA INPUT'!J116)/1.5,IF('DATA INPUT'!B116="S. mel",('DATA INPUT'!D116+'DATA INPUT'!F116+'DATA INPUT'!H116+'DATA INPUT'!J116)/1.5,IF('DATA INPUT'!B116=1,('DATA INPUT'!D116+'DATA INPUT'!F116+'DATA INPUT'!H116+'DATA INPUT'!J116)/1.5,IF('DATA INPUT'!B116=2,('DATA INPUT'!D116+'DATA INPUT'!F116+'DATA INPUT'!H116+'DATA INPUT'!J116)/1.5,FALSE)))))</f>
        <v>0</v>
      </c>
      <c r="N112" s="16">
        <f>'DATA INPUT'!C116</f>
        <v>0</v>
      </c>
      <c r="O112" s="3" t="b">
        <f>IF('DATA INPUT'!B116="T. ser",0.3446*'DATA INPUT'!D116^1.0619,IF('DATA INPUT'!B116="S. mel",(1270.6*'DATA INPUT'!D116^2.0933)/1000,IF('DATA INPUT'!B116="V. ref",(816.25*'DATA INPUT'!D116^2.1754)/1000,IF('DATA INPUT'!B116=1,(1492.4*'DATA INPUT'!D116^1.7591)/1000,IF('DATA INPUT'!B116=2,0.3446*'DATA INPUT'!D116^1.0619,FALSE)))))</f>
        <v>0</v>
      </c>
      <c r="P112" s="3" t="b">
        <f>IF('DATA INPUT'!B116="T. ser",0.3662*'DATA INPUT'!E116^1.5061,IF('DATA INPUT'!B116="S. mel",(748.47*'DATA INPUT'!E116^2.2691)/1000,IF('DATA INPUT'!B116="V. ref",(953.69*'DATA INPUT'!E116^1.9524)/1000,IF('DATA INPUT'!B116=1,(695.02*'DATA INPUT'!E116^2.3452)/1000,IF('DATA INPUT'!B116=2,0.3662*'DATA INPUT'!E116^1.5061,FALSE)))))</f>
        <v>0</v>
      </c>
      <c r="Q112" s="3" t="b">
        <f>IF('DATA INPUT'!B116="T. ser",0.1225*('DATA INPUT'!F116*'DATA INPUT'!G116)^0.8272,IF('DATA INPUT'!B116="S. mel",(925.08*('DATA INPUT'!F116*'DATA INPUT'!G116)^1.1603)/1000,IF('DATA INPUT'!B116="V. ref",(776.29*('DATA INPUT'!F116*'DATA INPUT'!G116)^1.1226)/1000,IF('DATA INPUT'!B116=1,(884.6*('DATA INPUT'!F116*'DATA INPUT'!G116)^1.129)/1000,IF('DATA INPUT'!B116=2,0.1225*('DATA INPUT'!F116*'DATA INPUT'!G116)^0.8272,FALSE)))))</f>
        <v>0</v>
      </c>
      <c r="R112" s="3" t="b">
        <f>IF('DATA INPUT'!B116="T. ser",5.5287*('DATA INPUT'!H116*'DATA INPUT'!I116)^0.8272,IF('DATA INPUT'!B116="S. mel",(31469*('DATA INPUT'!H116*'DATA INPUT'!I116)^0.8608)/1000,IF('DATA INPUT'!B116="V. ref",(39394*('DATA INPUT'!H116*'DATA INPUT'!I116)^1.005)/1000,IF('DATA INPUT'!B116=1,(31791*('DATA INPUT'!H116*'DATA INPUT'!I116)^0.8467)/1000,IF('DATA INPUT'!B116=2,5.5287*('DATA INPUT'!H116*'DATA INPUT'!I116)^0.8272,FALSE)))))</f>
        <v>0</v>
      </c>
      <c r="S112" s="3" t="b">
        <f>IF('DATA INPUT'!B116="T. ser",0.0005*I112^0.5148,IF('DATA INPUT'!B116="S. mel",0.051*I112^0.7789/1000,IF('DATA INPUT'!B116="V. ref",0.0958*I112^0.7253/1000,IF('DATA INPUT'!B116=1,0.0426*I112^0.786/1000,IF('DATA INPUT'!B116=2,0.0005*I112^0.5148,FALSE)))))</f>
        <v>0</v>
      </c>
      <c r="T112" s="59">
        <f t="shared" si="9"/>
        <v>0</v>
      </c>
    </row>
    <row r="113" spans="1:20" x14ac:dyDescent="0.2">
      <c r="A113" s="218">
        <f>'DATA INPUT'!C117</f>
        <v>0</v>
      </c>
      <c r="B113" s="11" t="b">
        <f>IF('DATA INPUT'!B117="T. ser",0.1656*'DATA INPUT'!D117^1.4655,IF('DATA INPUT'!B117="S. mel",135.53*'DATA INPUT'!D117^3.8701/1000,IF('DATA INPUT'!B117="V. ref",143.01*'DATA INPUT'!D117^3.3147/1000,IF('DATA INPUT'!B117=1,143.35*'DATA INPUT'!D117^3.6046/1000,IF('DATA INPUT'!B117=2,0.1656*'DATA INPUT'!D117^1.4655,FALSE)))))</f>
        <v>0</v>
      </c>
      <c r="C113" s="8" t="b">
        <f>IF('DATA INPUT'!B117="T. ser",0.3356*'DATA INPUT'!E117^0.9984,IF('DATA INPUT'!B117="S. mel",24.906*'DATA INPUT'!E117^4.7681/1000,IF('DATA INPUT'!B117="V. ref",118.45*'DATA INPUT'!E117^3.5959/1000,IF('DATA INPUT'!B117=1,55.075*'DATA INPUT'!E117^4.0991/1000,IF('DATA INPUT'!B117=2,0.3356*'DATA INPUT'!E117^0.9984,FALSE)))))</f>
        <v>0</v>
      </c>
      <c r="D113" s="18" t="b">
        <f>IF('DATA INPUT'!B117="T. ser",0.0615*('DATA INPUT'!F117*'DATA INPUT'!G117)^0.9573,IF('DATA INPUT'!B117="S. mel",46.162*('DATA INPUT'!F117*'DATA INPUT'!G117)^2.3652/1000,IF('DATA INPUT'!B117="V. ref",90.34*('DATA INPUT'!F117*'DATA INPUT'!G117)^1.9756/1000,IF('DATA INPUT'!B117=1,63.022*('DATA INPUT'!F117*'DATA INPUT'!G117)^2.1551/1000,IF('DATA INPUT'!B117=2,0.0615*('DATA INPUT'!F117*'DATA INPUT'!G117)^0.9573,FALSE)))))</f>
        <v>0</v>
      </c>
      <c r="E113" s="8" t="b">
        <f>IF('DATA INPUT'!B117="T. ser",5.0562*('DATA INPUT'!H117*'DATA INPUT'!I117)^0.9574,IF('DATA INPUT'!B117="S. mel",44047*('DATA INPUT'!H117*'DATA INPUT'!I117)^1.5456/1000,IF('DATA INPUT'!B117="V. ref",91930*('DATA INPUT'!H117*'DATA INPUT'!I117)^1.7774/1000,IF('DATA INPUT'!B117=1,62601*('DATA INPUT'!H117*'DATA INPUT'!I117)^1.6463/1000,IF('DATA INPUT'!B117=2,5.0562*('DATA INPUT'!H117*'DATA INPUT'!I117)^0.9574,FALSE)))))</f>
        <v>0</v>
      </c>
      <c r="F113" s="18" t="b">
        <f>IF('DATA INPUT'!B117="T. ser",0.0009*I113^0.4477,IF('DATA INPUT'!B117="S. mel",0.0000004*I113^1.4912/1000,IF('DATA INPUT'!B117="V. ref",0.00000005*I113^1.6284/1000,IF('DATA INPUT'!B117=1,0.0000007*I113^1.4601/1000,IF('DATA INPUT'!B117=2,0.0009*I113^0.4477,FALSE)))))</f>
        <v>0</v>
      </c>
      <c r="G113" s="57">
        <f t="shared" si="11"/>
        <v>0</v>
      </c>
      <c r="H113" s="57"/>
      <c r="I113" s="2" t="b">
        <f>IF('DATA INPUT'!B117="T. ser",3.142*'DATA INPUT'!N117^2*'DATA INPUT'!O117/3+3.142*'DATA INPUT'!P117^2/3*(3*'DATA INPUT'!N117-'DATA INPUT'!P117),IF('DATA INPUT'!B117="S. mel",3.142*'DATA INPUT'!N117^2*'DATA INPUT'!O117/3+3.142*'DATA INPUT'!P117^2/3*(3*'DATA INPUT'!N117-'DATA INPUT'!P117),IF('DATA INPUT'!B117="V. ref",3.142*'DATA INPUT'!N117^2*'DATA INPUT'!O117/3+3.142*'DATA INPUT'!P117^2/3*(3*'DATA INPUT'!N117-'DATA INPUT'!P117),IF('DATA INPUT'!B117=1,3.142*'DATA INPUT'!N117^2*'DATA INPUT'!O117/3+3.142*'DATA INPUT'!P117^2/3*(3*'DATA INPUT'!N117-'DATA INPUT'!P117),IF('DATA INPUT'!B117=2,3.142*'DATA INPUT'!N117^2*'DATA INPUT'!O117/3+3.142*'DATA INPUT'!P117^2/3*(3*'DATA INPUT'!N117-'DATA INPUT'!P117),FALSE)))))</f>
        <v>0</v>
      </c>
      <c r="J113" s="2" t="b">
        <f>IF('DATA INPUT'!B117="T. ser",0.0458*CALCULATIONS!I113^0.6841,IF('DATA INPUT'!B117="S. mel",0.6047*CALCULATIONS!I113^0.6433,IF('DATA INPUT'!B117="V. ref",0.77086*CALCULATIONS!I113^0.4936,IF('DATA INPUT'!B117=1,0.68778*CALCULATIONS!I113^0.56845,IF('DATA INPUT'!B117=2,0.0458*CALCULATIONS!I113^0.6841,FALSE)))))</f>
        <v>0</v>
      </c>
      <c r="K113" s="3">
        <f t="shared" si="8"/>
        <v>0</v>
      </c>
      <c r="L113" s="3" t="b">
        <f>IF('DATA INPUT'!B117="T. ser",('DATA INPUT'!D117+'DATA INPUT'!F117+'DATA INPUT'!H117+'DATA INPUT'!J117)/1.5,IF('DATA INPUT'!B117="V. ref",('DATA INPUT'!D117+'DATA INPUT'!F117+'DATA INPUT'!H117+'DATA INPUT'!J117)/1.5,IF('DATA INPUT'!B117="S. mel",('DATA INPUT'!D117+'DATA INPUT'!F117+'DATA INPUT'!H117+'DATA INPUT'!J117)/1.5,IF('DATA INPUT'!B117=1,('DATA INPUT'!D117+'DATA INPUT'!F117+'DATA INPUT'!H117+'DATA INPUT'!J117)/1.5,IF('DATA INPUT'!B117=2,('DATA INPUT'!D117+'DATA INPUT'!F117+'DATA INPUT'!H117+'DATA INPUT'!J117)/1.5,FALSE)))))</f>
        <v>0</v>
      </c>
      <c r="N113" s="16">
        <f>'DATA INPUT'!C117</f>
        <v>0</v>
      </c>
      <c r="O113" s="3" t="b">
        <f>IF('DATA INPUT'!B117="T. ser",0.3446*'DATA INPUT'!D117^1.0619,IF('DATA INPUT'!B117="S. mel",(1270.6*'DATA INPUT'!D117^2.0933)/1000,IF('DATA INPUT'!B117="V. ref",(816.25*'DATA INPUT'!D117^2.1754)/1000,IF('DATA INPUT'!B117=1,(1492.4*'DATA INPUT'!D117^1.7591)/1000,IF('DATA INPUT'!B117=2,0.3446*'DATA INPUT'!D117^1.0619,FALSE)))))</f>
        <v>0</v>
      </c>
      <c r="P113" s="3" t="b">
        <f>IF('DATA INPUT'!B117="T. ser",0.3662*'DATA INPUT'!E117^1.5061,IF('DATA INPUT'!B117="S. mel",(748.47*'DATA INPUT'!E117^2.2691)/1000,IF('DATA INPUT'!B117="V. ref",(953.69*'DATA INPUT'!E117^1.9524)/1000,IF('DATA INPUT'!B117=1,(695.02*'DATA INPUT'!E117^2.3452)/1000,IF('DATA INPUT'!B117=2,0.3662*'DATA INPUT'!E117^1.5061,FALSE)))))</f>
        <v>0</v>
      </c>
      <c r="Q113" s="3" t="b">
        <f>IF('DATA INPUT'!B117="T. ser",0.1225*('DATA INPUT'!F117*'DATA INPUT'!G117)^0.8272,IF('DATA INPUT'!B117="S. mel",(925.08*('DATA INPUT'!F117*'DATA INPUT'!G117)^1.1603)/1000,IF('DATA INPUT'!B117="V. ref",(776.29*('DATA INPUT'!F117*'DATA INPUT'!G117)^1.1226)/1000,IF('DATA INPUT'!B117=1,(884.6*('DATA INPUT'!F117*'DATA INPUT'!G117)^1.129)/1000,IF('DATA INPUT'!B117=2,0.1225*('DATA INPUT'!F117*'DATA INPUT'!G117)^0.8272,FALSE)))))</f>
        <v>0</v>
      </c>
      <c r="R113" s="3" t="b">
        <f>IF('DATA INPUT'!B117="T. ser",5.5287*('DATA INPUT'!H117*'DATA INPUT'!I117)^0.8272,IF('DATA INPUT'!B117="S. mel",(31469*('DATA INPUT'!H117*'DATA INPUT'!I117)^0.8608)/1000,IF('DATA INPUT'!B117="V. ref",(39394*('DATA INPUT'!H117*'DATA INPUT'!I117)^1.005)/1000,IF('DATA INPUT'!B117=1,(31791*('DATA INPUT'!H117*'DATA INPUT'!I117)^0.8467)/1000,IF('DATA INPUT'!B117=2,5.5287*('DATA INPUT'!H117*'DATA INPUT'!I117)^0.8272,FALSE)))))</f>
        <v>0</v>
      </c>
      <c r="S113" s="3" t="b">
        <f>IF('DATA INPUT'!B117="T. ser",0.0005*I113^0.5148,IF('DATA INPUT'!B117="S. mel",0.051*I113^0.7789/1000,IF('DATA INPUT'!B117="V. ref",0.0958*I113^0.7253/1000,IF('DATA INPUT'!B117=1,0.0426*I113^0.786/1000,IF('DATA INPUT'!B117=2,0.0005*I113^0.5148,FALSE)))))</f>
        <v>0</v>
      </c>
      <c r="T113" s="59">
        <f t="shared" si="9"/>
        <v>0</v>
      </c>
    </row>
    <row r="114" spans="1:20" x14ac:dyDescent="0.2">
      <c r="A114" s="218">
        <f>'DATA INPUT'!C118</f>
        <v>0</v>
      </c>
      <c r="B114" s="11" t="b">
        <f>IF('DATA INPUT'!B118="T. ser",0.1656*'DATA INPUT'!D118^1.4655,IF('DATA INPUT'!B118="S. mel",135.53*'DATA INPUT'!D118^3.8701/1000,IF('DATA INPUT'!B118="V. ref",143.01*'DATA INPUT'!D118^3.3147/1000,IF('DATA INPUT'!B118=1,143.35*'DATA INPUT'!D118^3.6046/1000,IF('DATA INPUT'!B118=2,0.1656*'DATA INPUT'!D118^1.4655,FALSE)))))</f>
        <v>0</v>
      </c>
      <c r="C114" s="8" t="b">
        <f>IF('DATA INPUT'!B118="T. ser",0.3356*'DATA INPUT'!E118^0.9984,IF('DATA INPUT'!B118="S. mel",24.906*'DATA INPUT'!E118^4.7681/1000,IF('DATA INPUT'!B118="V. ref",118.45*'DATA INPUT'!E118^3.5959/1000,IF('DATA INPUT'!B118=1,55.075*'DATA INPUT'!E118^4.0991/1000,IF('DATA INPUT'!B118=2,0.3356*'DATA INPUT'!E118^0.9984,FALSE)))))</f>
        <v>0</v>
      </c>
      <c r="D114" s="18" t="b">
        <f>IF('DATA INPUT'!B118="T. ser",0.0615*('DATA INPUT'!F118*'DATA INPUT'!G118)^0.9573,IF('DATA INPUT'!B118="S. mel",46.162*('DATA INPUT'!F118*'DATA INPUT'!G118)^2.3652/1000,IF('DATA INPUT'!B118="V. ref",90.34*('DATA INPUT'!F118*'DATA INPUT'!G118)^1.9756/1000,IF('DATA INPUT'!B118=1,63.022*('DATA INPUT'!F118*'DATA INPUT'!G118)^2.1551/1000,IF('DATA INPUT'!B118=2,0.0615*('DATA INPUT'!F118*'DATA INPUT'!G118)^0.9573,FALSE)))))</f>
        <v>0</v>
      </c>
      <c r="E114" s="8" t="b">
        <f>IF('DATA INPUT'!B118="T. ser",5.0562*('DATA INPUT'!H118*'DATA INPUT'!I118)^0.9574,IF('DATA INPUT'!B118="S. mel",44047*('DATA INPUT'!H118*'DATA INPUT'!I118)^1.5456/1000,IF('DATA INPUT'!B118="V. ref",91930*('DATA INPUT'!H118*'DATA INPUT'!I118)^1.7774/1000,IF('DATA INPUT'!B118=1,62601*('DATA INPUT'!H118*'DATA INPUT'!I118)^1.6463/1000,IF('DATA INPUT'!B118=2,5.0562*('DATA INPUT'!H118*'DATA INPUT'!I118)^0.9574,FALSE)))))</f>
        <v>0</v>
      </c>
      <c r="F114" s="18" t="b">
        <f>IF('DATA INPUT'!B118="T. ser",0.0009*I114^0.4477,IF('DATA INPUT'!B118="S. mel",0.0000004*I114^1.4912/1000,IF('DATA INPUT'!B118="V. ref",0.00000005*I114^1.6284/1000,IF('DATA INPUT'!B118=1,0.0000007*I114^1.4601/1000,IF('DATA INPUT'!B118=2,0.0009*I114^0.4477,FALSE)))))</f>
        <v>0</v>
      </c>
      <c r="G114" s="57">
        <f t="shared" si="11"/>
        <v>0</v>
      </c>
      <c r="H114" s="57"/>
      <c r="I114" s="2" t="b">
        <f>IF('DATA INPUT'!B118="T. ser",3.142*'DATA INPUT'!N118^2*'DATA INPUT'!O118/3+3.142*'DATA INPUT'!P118^2/3*(3*'DATA INPUT'!N118-'DATA INPUT'!P118),IF('DATA INPUT'!B118="S. mel",3.142*'DATA INPUT'!N118^2*'DATA INPUT'!O118/3+3.142*'DATA INPUT'!P118^2/3*(3*'DATA INPUT'!N118-'DATA INPUT'!P118),IF('DATA INPUT'!B118="V. ref",3.142*'DATA INPUT'!N118^2*'DATA INPUT'!O118/3+3.142*'DATA INPUT'!P118^2/3*(3*'DATA INPUT'!N118-'DATA INPUT'!P118),IF('DATA INPUT'!B118=1,3.142*'DATA INPUT'!N118^2*'DATA INPUT'!O118/3+3.142*'DATA INPUT'!P118^2/3*(3*'DATA INPUT'!N118-'DATA INPUT'!P118),IF('DATA INPUT'!B118=2,3.142*'DATA INPUT'!N118^2*'DATA INPUT'!O118/3+3.142*'DATA INPUT'!P118^2/3*(3*'DATA INPUT'!N118-'DATA INPUT'!P118),FALSE)))))</f>
        <v>0</v>
      </c>
      <c r="J114" s="2" t="b">
        <f>IF('DATA INPUT'!B118="T. ser",0.0458*CALCULATIONS!I114^0.6841,IF('DATA INPUT'!B118="S. mel",0.6047*CALCULATIONS!I114^0.6433,IF('DATA INPUT'!B118="V. ref",0.77086*CALCULATIONS!I114^0.4936,IF('DATA INPUT'!B118=1,0.68778*CALCULATIONS!I114^0.56845,IF('DATA INPUT'!B118=2,0.0458*CALCULATIONS!I114^0.6841,FALSE)))))</f>
        <v>0</v>
      </c>
      <c r="K114" s="3">
        <f t="shared" si="8"/>
        <v>0</v>
      </c>
      <c r="L114" s="3" t="b">
        <f>IF('DATA INPUT'!B118="T. ser",('DATA INPUT'!D118+'DATA INPUT'!F118+'DATA INPUT'!H118+'DATA INPUT'!J118)/1.5,IF('DATA INPUT'!B118="V. ref",('DATA INPUT'!D118+'DATA INPUT'!F118+'DATA INPUT'!H118+'DATA INPUT'!J118)/1.5,IF('DATA INPUT'!B118="S. mel",('DATA INPUT'!D118+'DATA INPUT'!F118+'DATA INPUT'!H118+'DATA INPUT'!J118)/1.5,IF('DATA INPUT'!B118=1,('DATA INPUT'!D118+'DATA INPUT'!F118+'DATA INPUT'!H118+'DATA INPUT'!J118)/1.5,IF('DATA INPUT'!B118=2,('DATA INPUT'!D118+'DATA INPUT'!F118+'DATA INPUT'!H118+'DATA INPUT'!J118)/1.5,FALSE)))))</f>
        <v>0</v>
      </c>
      <c r="N114" s="16">
        <f>'DATA INPUT'!C118</f>
        <v>0</v>
      </c>
      <c r="O114" s="3" t="b">
        <f>IF('DATA INPUT'!B118="T. ser",0.3446*'DATA INPUT'!D118^1.0619,IF('DATA INPUT'!B118="S. mel",(1270.6*'DATA INPUT'!D118^2.0933)/1000,IF('DATA INPUT'!B118="V. ref",(816.25*'DATA INPUT'!D118^2.1754)/1000,IF('DATA INPUT'!B118=1,(1492.4*'DATA INPUT'!D118^1.7591)/1000,IF('DATA INPUT'!B118=2,0.3446*'DATA INPUT'!D118^1.0619,FALSE)))))</f>
        <v>0</v>
      </c>
      <c r="P114" s="3" t="b">
        <f>IF('DATA INPUT'!B118="T. ser",0.3662*'DATA INPUT'!E118^1.5061,IF('DATA INPUT'!B118="S. mel",(748.47*'DATA INPUT'!E118^2.2691)/1000,IF('DATA INPUT'!B118="V. ref",(953.69*'DATA INPUT'!E118^1.9524)/1000,IF('DATA INPUT'!B118=1,(695.02*'DATA INPUT'!E118^2.3452)/1000,IF('DATA INPUT'!B118=2,0.3662*'DATA INPUT'!E118^1.5061,FALSE)))))</f>
        <v>0</v>
      </c>
      <c r="Q114" s="3" t="b">
        <f>IF('DATA INPUT'!B118="T. ser",0.1225*('DATA INPUT'!F118*'DATA INPUT'!G118)^0.8272,IF('DATA INPUT'!B118="S. mel",(925.08*('DATA INPUT'!F118*'DATA INPUT'!G118)^1.1603)/1000,IF('DATA INPUT'!B118="V. ref",(776.29*('DATA INPUT'!F118*'DATA INPUT'!G118)^1.1226)/1000,IF('DATA INPUT'!B118=1,(884.6*('DATA INPUT'!F118*'DATA INPUT'!G118)^1.129)/1000,IF('DATA INPUT'!B118=2,0.1225*('DATA INPUT'!F118*'DATA INPUT'!G118)^0.8272,FALSE)))))</f>
        <v>0</v>
      </c>
      <c r="R114" s="3" t="b">
        <f>IF('DATA INPUT'!B118="T. ser",5.5287*('DATA INPUT'!H118*'DATA INPUT'!I118)^0.8272,IF('DATA INPUT'!B118="S. mel",(31469*('DATA INPUT'!H118*'DATA INPUT'!I118)^0.8608)/1000,IF('DATA INPUT'!B118="V. ref",(39394*('DATA INPUT'!H118*'DATA INPUT'!I118)^1.005)/1000,IF('DATA INPUT'!B118=1,(31791*('DATA INPUT'!H118*'DATA INPUT'!I118)^0.8467)/1000,IF('DATA INPUT'!B118=2,5.5287*('DATA INPUT'!H118*'DATA INPUT'!I118)^0.8272,FALSE)))))</f>
        <v>0</v>
      </c>
      <c r="S114" s="3" t="b">
        <f>IF('DATA INPUT'!B118="T. ser",0.0005*I114^0.5148,IF('DATA INPUT'!B118="S. mel",0.051*I114^0.7789/1000,IF('DATA INPUT'!B118="V. ref",0.0958*I114^0.7253/1000,IF('DATA INPUT'!B118=1,0.0426*I114^0.786/1000,IF('DATA INPUT'!B118=2,0.0005*I114^0.5148,FALSE)))))</f>
        <v>0</v>
      </c>
      <c r="T114" s="59">
        <f t="shared" si="9"/>
        <v>0</v>
      </c>
    </row>
    <row r="115" spans="1:20" x14ac:dyDescent="0.2">
      <c r="A115" s="218">
        <f>'DATA INPUT'!C119</f>
        <v>0</v>
      </c>
      <c r="B115" s="11" t="b">
        <f>IF('DATA INPUT'!B119="T. ser",0.1656*'DATA INPUT'!D119^1.4655,IF('DATA INPUT'!B119="S. mel",135.53*'DATA INPUT'!D119^3.8701/1000,IF('DATA INPUT'!B119="V. ref",143.01*'DATA INPUT'!D119^3.3147/1000,IF('DATA INPUT'!B119=1,143.35*'DATA INPUT'!D119^3.6046/1000,IF('DATA INPUT'!B119=2,0.1656*'DATA INPUT'!D119^1.4655,FALSE)))))</f>
        <v>0</v>
      </c>
      <c r="C115" s="8" t="b">
        <f>IF('DATA INPUT'!B119="T. ser",0.3356*'DATA INPUT'!E119^0.9984,IF('DATA INPUT'!B119="S. mel",24.906*'DATA INPUT'!E119^4.7681/1000,IF('DATA INPUT'!B119="V. ref",118.45*'DATA INPUT'!E119^3.5959/1000,IF('DATA INPUT'!B119=1,55.075*'DATA INPUT'!E119^4.0991/1000,IF('DATA INPUT'!B119=2,0.3356*'DATA INPUT'!E119^0.9984,FALSE)))))</f>
        <v>0</v>
      </c>
      <c r="D115" s="18" t="b">
        <f>IF('DATA INPUT'!B119="T. ser",0.0615*('DATA INPUT'!F119*'DATA INPUT'!G119)^0.9573,IF('DATA INPUT'!B119="S. mel",46.162*('DATA INPUT'!F119*'DATA INPUT'!G119)^2.3652/1000,IF('DATA INPUT'!B119="V. ref",90.34*('DATA INPUT'!F119*'DATA INPUT'!G119)^1.9756/1000,IF('DATA INPUT'!B119=1,63.022*('DATA INPUT'!F119*'DATA INPUT'!G119)^2.1551/1000,IF('DATA INPUT'!B119=2,0.0615*('DATA INPUT'!F119*'DATA INPUT'!G119)^0.9573,FALSE)))))</f>
        <v>0</v>
      </c>
      <c r="E115" s="8" t="b">
        <f>IF('DATA INPUT'!B119="T. ser",5.0562*('DATA INPUT'!H119*'DATA INPUT'!I119)^0.9574,IF('DATA INPUT'!B119="S. mel",44047*('DATA INPUT'!H119*'DATA INPUT'!I119)^1.5456/1000,IF('DATA INPUT'!B119="V. ref",91930*('DATA INPUT'!H119*'DATA INPUT'!I119)^1.7774/1000,IF('DATA INPUT'!B119=1,62601*('DATA INPUT'!H119*'DATA INPUT'!I119)^1.6463/1000,IF('DATA INPUT'!B119=2,5.0562*('DATA INPUT'!H119*'DATA INPUT'!I119)^0.9574,FALSE)))))</f>
        <v>0</v>
      </c>
      <c r="F115" s="18" t="b">
        <f>IF('DATA INPUT'!B119="T. ser",0.0009*I115^0.4477,IF('DATA INPUT'!B119="S. mel",0.0000004*I115^1.4912/1000,IF('DATA INPUT'!B119="V. ref",0.00000005*I115^1.6284/1000,IF('DATA INPUT'!B119=1,0.0000007*I115^1.4601/1000,IF('DATA INPUT'!B119=2,0.0009*I115^0.4477,FALSE)))))</f>
        <v>0</v>
      </c>
      <c r="G115" s="57">
        <f t="shared" si="11"/>
        <v>0</v>
      </c>
      <c r="H115" s="57"/>
      <c r="I115" s="2" t="b">
        <f>IF('DATA INPUT'!B119="T. ser",3.142*'DATA INPUT'!N119^2*'DATA INPUT'!O119/3+3.142*'DATA INPUT'!P119^2/3*(3*'DATA INPUT'!N119-'DATA INPUT'!P119),IF('DATA INPUT'!B119="S. mel",3.142*'DATA INPUT'!N119^2*'DATA INPUT'!O119/3+3.142*'DATA INPUT'!P119^2/3*(3*'DATA INPUT'!N119-'DATA INPUT'!P119),IF('DATA INPUT'!B119="V. ref",3.142*'DATA INPUT'!N119^2*'DATA INPUT'!O119/3+3.142*'DATA INPUT'!P119^2/3*(3*'DATA INPUT'!N119-'DATA INPUT'!P119),IF('DATA INPUT'!B119=1,3.142*'DATA INPUT'!N119^2*'DATA INPUT'!O119/3+3.142*'DATA INPUT'!P119^2/3*(3*'DATA INPUT'!N119-'DATA INPUT'!P119),IF('DATA INPUT'!B119=2,3.142*'DATA INPUT'!N119^2*'DATA INPUT'!O119/3+3.142*'DATA INPUT'!P119^2/3*(3*'DATA INPUT'!N119-'DATA INPUT'!P119),FALSE)))))</f>
        <v>0</v>
      </c>
      <c r="J115" s="2" t="b">
        <f>IF('DATA INPUT'!B119="T. ser",0.0458*CALCULATIONS!I115^0.6841,IF('DATA INPUT'!B119="S. mel",0.6047*CALCULATIONS!I115^0.6433,IF('DATA INPUT'!B119="V. ref",0.77086*CALCULATIONS!I115^0.4936,IF('DATA INPUT'!B119=1,0.68778*CALCULATIONS!I115^0.56845,IF('DATA INPUT'!B119=2,0.0458*CALCULATIONS!I115^0.6841,FALSE)))))</f>
        <v>0</v>
      </c>
      <c r="K115" s="3">
        <f t="shared" si="8"/>
        <v>0</v>
      </c>
      <c r="L115" s="3" t="b">
        <f>IF('DATA INPUT'!B119="T. ser",('DATA INPUT'!D119+'DATA INPUT'!F119+'DATA INPUT'!H119+'DATA INPUT'!J119)/1.5,IF('DATA INPUT'!B119="V. ref",('DATA INPUT'!D119+'DATA INPUT'!F119+'DATA INPUT'!H119+'DATA INPUT'!J119)/1.5,IF('DATA INPUT'!B119="S. mel",('DATA INPUT'!D119+'DATA INPUT'!F119+'DATA INPUT'!H119+'DATA INPUT'!J119)/1.5,IF('DATA INPUT'!B119=1,('DATA INPUT'!D119+'DATA INPUT'!F119+'DATA INPUT'!H119+'DATA INPUT'!J119)/1.5,IF('DATA INPUT'!B119=2,('DATA INPUT'!D119+'DATA INPUT'!F119+'DATA INPUT'!H119+'DATA INPUT'!J119)/1.5,FALSE)))))</f>
        <v>0</v>
      </c>
      <c r="N115" s="16">
        <f>'DATA INPUT'!C119</f>
        <v>0</v>
      </c>
      <c r="O115" s="3" t="b">
        <f>IF('DATA INPUT'!B119="T. ser",0.3446*'DATA INPUT'!D119^1.0619,IF('DATA INPUT'!B119="S. mel",(1270.6*'DATA INPUT'!D119^2.0933)/1000,IF('DATA INPUT'!B119="V. ref",(816.25*'DATA INPUT'!D119^2.1754)/1000,IF('DATA INPUT'!B119=1,(1492.4*'DATA INPUT'!D119^1.7591)/1000,IF('DATA INPUT'!B119=2,0.3446*'DATA INPUT'!D119^1.0619,FALSE)))))</f>
        <v>0</v>
      </c>
      <c r="P115" s="3" t="b">
        <f>IF('DATA INPUT'!B119="T. ser",0.3662*'DATA INPUT'!E119^1.5061,IF('DATA INPUT'!B119="S. mel",(748.47*'DATA INPUT'!E119^2.2691)/1000,IF('DATA INPUT'!B119="V. ref",(953.69*'DATA INPUT'!E119^1.9524)/1000,IF('DATA INPUT'!B119=1,(695.02*'DATA INPUT'!E119^2.3452)/1000,IF('DATA INPUT'!B119=2,0.3662*'DATA INPUT'!E119^1.5061,FALSE)))))</f>
        <v>0</v>
      </c>
      <c r="Q115" s="3" t="b">
        <f>IF('DATA INPUT'!B119="T. ser",0.1225*('DATA INPUT'!F119*'DATA INPUT'!G119)^0.8272,IF('DATA INPUT'!B119="S. mel",(925.08*('DATA INPUT'!F119*'DATA INPUT'!G119)^1.1603)/1000,IF('DATA INPUT'!B119="V. ref",(776.29*('DATA INPUT'!F119*'DATA INPUT'!G119)^1.1226)/1000,IF('DATA INPUT'!B119=1,(884.6*('DATA INPUT'!F119*'DATA INPUT'!G119)^1.129)/1000,IF('DATA INPUT'!B119=2,0.1225*('DATA INPUT'!F119*'DATA INPUT'!G119)^0.8272,FALSE)))))</f>
        <v>0</v>
      </c>
      <c r="R115" s="3" t="b">
        <f>IF('DATA INPUT'!B119="T. ser",5.5287*('DATA INPUT'!H119*'DATA INPUT'!I119)^0.8272,IF('DATA INPUT'!B119="S. mel",(31469*('DATA INPUT'!H119*'DATA INPUT'!I119)^0.8608)/1000,IF('DATA INPUT'!B119="V. ref",(39394*('DATA INPUT'!H119*'DATA INPUT'!I119)^1.005)/1000,IF('DATA INPUT'!B119=1,(31791*('DATA INPUT'!H119*'DATA INPUT'!I119)^0.8467)/1000,IF('DATA INPUT'!B119=2,5.5287*('DATA INPUT'!H119*'DATA INPUT'!I119)^0.8272,FALSE)))))</f>
        <v>0</v>
      </c>
      <c r="S115" s="3" t="b">
        <f>IF('DATA INPUT'!B119="T. ser",0.0005*I115^0.5148,IF('DATA INPUT'!B119="S. mel",0.051*I115^0.7789/1000,IF('DATA INPUT'!B119="V. ref",0.0958*I115^0.7253/1000,IF('DATA INPUT'!B119=1,0.0426*I115^0.786/1000,IF('DATA INPUT'!B119=2,0.0005*I115^0.5148,FALSE)))))</f>
        <v>0</v>
      </c>
      <c r="T115" s="59">
        <f t="shared" si="9"/>
        <v>0</v>
      </c>
    </row>
    <row r="116" spans="1:20" x14ac:dyDescent="0.2">
      <c r="A116" s="218">
        <f>'DATA INPUT'!C120</f>
        <v>0</v>
      </c>
      <c r="B116" s="11" t="b">
        <f>IF('DATA INPUT'!B120="T. ser",0.1656*'DATA INPUT'!D120^1.4655,IF('DATA INPUT'!B120="S. mel",135.53*'DATA INPUT'!D120^3.8701/1000,IF('DATA INPUT'!B120="V. ref",143.01*'DATA INPUT'!D120^3.3147/1000,IF('DATA INPUT'!B120=1,143.35*'DATA INPUT'!D120^3.6046/1000,IF('DATA INPUT'!B120=2,0.1656*'DATA INPUT'!D120^1.4655,FALSE)))))</f>
        <v>0</v>
      </c>
      <c r="C116" s="8" t="b">
        <f>IF('DATA INPUT'!B120="T. ser",0.3356*'DATA INPUT'!E120^0.9984,IF('DATA INPUT'!B120="S. mel",24.906*'DATA INPUT'!E120^4.7681/1000,IF('DATA INPUT'!B120="V. ref",118.45*'DATA INPUT'!E120^3.5959/1000,IF('DATA INPUT'!B120=1,55.075*'DATA INPUT'!E120^4.0991/1000,IF('DATA INPUT'!B120=2,0.3356*'DATA INPUT'!E120^0.9984,FALSE)))))</f>
        <v>0</v>
      </c>
      <c r="D116" s="18" t="b">
        <f>IF('DATA INPUT'!B120="T. ser",0.0615*('DATA INPUT'!F120*'DATA INPUT'!G120)^0.9573,IF('DATA INPUT'!B120="S. mel",46.162*('DATA INPUT'!F120*'DATA INPUT'!G120)^2.3652/1000,IF('DATA INPUT'!B120="V. ref",90.34*('DATA INPUT'!F120*'DATA INPUT'!G120)^1.9756/1000,IF('DATA INPUT'!B120=1,63.022*('DATA INPUT'!F120*'DATA INPUT'!G120)^2.1551/1000,IF('DATA INPUT'!B120=2,0.0615*('DATA INPUT'!F120*'DATA INPUT'!G120)^0.9573,FALSE)))))</f>
        <v>0</v>
      </c>
      <c r="E116" s="8" t="b">
        <f>IF('DATA INPUT'!B120="T. ser",5.0562*('DATA INPUT'!H120*'DATA INPUT'!I120)^0.9574,IF('DATA INPUT'!B120="S. mel",44047*('DATA INPUT'!H120*'DATA INPUT'!I120)^1.5456/1000,IF('DATA INPUT'!B120="V. ref",91930*('DATA INPUT'!H120*'DATA INPUT'!I120)^1.7774/1000,IF('DATA INPUT'!B120=1,62601*('DATA INPUT'!H120*'DATA INPUT'!I120)^1.6463/1000,IF('DATA INPUT'!B120=2,5.0562*('DATA INPUT'!H120*'DATA INPUT'!I120)^0.9574,FALSE)))))</f>
        <v>0</v>
      </c>
      <c r="F116" s="18" t="b">
        <f>IF('DATA INPUT'!B120="T. ser",0.0009*I116^0.4477,IF('DATA INPUT'!B120="S. mel",0.0000004*I116^1.4912/1000,IF('DATA INPUT'!B120="V. ref",0.00000005*I116^1.6284/1000,IF('DATA INPUT'!B120=1,0.0000007*I116^1.4601/1000,IF('DATA INPUT'!B120=2,0.0009*I116^0.4477,FALSE)))))</f>
        <v>0</v>
      </c>
      <c r="G116" s="57">
        <f t="shared" si="11"/>
        <v>0</v>
      </c>
      <c r="H116" s="57"/>
      <c r="I116" s="2" t="b">
        <f>IF('DATA INPUT'!B120="T. ser",3.142*'DATA INPUT'!N120^2*'DATA INPUT'!O120/3+3.142*'DATA INPUT'!P120^2/3*(3*'DATA INPUT'!N120-'DATA INPUT'!P120),IF('DATA INPUT'!B120="S. mel",3.142*'DATA INPUT'!N120^2*'DATA INPUT'!O120/3+3.142*'DATA INPUT'!P120^2/3*(3*'DATA INPUT'!N120-'DATA INPUT'!P120),IF('DATA INPUT'!B120="V. ref",3.142*'DATA INPUT'!N120^2*'DATA INPUT'!O120/3+3.142*'DATA INPUT'!P120^2/3*(3*'DATA INPUT'!N120-'DATA INPUT'!P120),IF('DATA INPUT'!B120=1,3.142*'DATA INPUT'!N120^2*'DATA INPUT'!O120/3+3.142*'DATA INPUT'!P120^2/3*(3*'DATA INPUT'!N120-'DATA INPUT'!P120),IF('DATA INPUT'!B120=2,3.142*'DATA INPUT'!N120^2*'DATA INPUT'!O120/3+3.142*'DATA INPUT'!P120^2/3*(3*'DATA INPUT'!N120-'DATA INPUT'!P120),FALSE)))))</f>
        <v>0</v>
      </c>
      <c r="J116" s="2" t="b">
        <f>IF('DATA INPUT'!B120="T. ser",0.0458*CALCULATIONS!I116^0.6841,IF('DATA INPUT'!B120="S. mel",0.6047*CALCULATIONS!I116^0.6433,IF('DATA INPUT'!B120="V. ref",0.77086*CALCULATIONS!I116^0.4936,IF('DATA INPUT'!B120=1,0.68778*CALCULATIONS!I116^0.56845,IF('DATA INPUT'!B120=2,0.0458*CALCULATIONS!I116^0.6841,FALSE)))))</f>
        <v>0</v>
      </c>
      <c r="K116" s="3">
        <f t="shared" si="8"/>
        <v>0</v>
      </c>
      <c r="L116" s="3" t="b">
        <f>IF('DATA INPUT'!B120="T. ser",('DATA INPUT'!D120+'DATA INPUT'!F120+'DATA INPUT'!H120+'DATA INPUT'!J120)/1.5,IF('DATA INPUT'!B120="V. ref",('DATA INPUT'!D120+'DATA INPUT'!F120+'DATA INPUT'!H120+'DATA INPUT'!J120)/1.5,IF('DATA INPUT'!B120="S. mel",('DATA INPUT'!D120+'DATA INPUT'!F120+'DATA INPUT'!H120+'DATA INPUT'!J120)/1.5,IF('DATA INPUT'!B120=1,('DATA INPUT'!D120+'DATA INPUT'!F120+'DATA INPUT'!H120+'DATA INPUT'!J120)/1.5,IF('DATA INPUT'!B120=2,('DATA INPUT'!D120+'DATA INPUT'!F120+'DATA INPUT'!H120+'DATA INPUT'!J120)/1.5,FALSE)))))</f>
        <v>0</v>
      </c>
      <c r="N116" s="16">
        <f>'DATA INPUT'!C120</f>
        <v>0</v>
      </c>
      <c r="O116" s="3" t="b">
        <f>IF('DATA INPUT'!B120="T. ser",0.3446*'DATA INPUT'!D120^1.0619,IF('DATA INPUT'!B120="S. mel",(1270.6*'DATA INPUT'!D120^2.0933)/1000,IF('DATA INPUT'!B120="V. ref",(816.25*'DATA INPUT'!D120^2.1754)/1000,IF('DATA INPUT'!B120=1,(1492.4*'DATA INPUT'!D120^1.7591)/1000,IF('DATA INPUT'!B120=2,0.3446*'DATA INPUT'!D120^1.0619,FALSE)))))</f>
        <v>0</v>
      </c>
      <c r="P116" s="3" t="b">
        <f>IF('DATA INPUT'!B120="T. ser",0.3662*'DATA INPUT'!E120^1.5061,IF('DATA INPUT'!B120="S. mel",(748.47*'DATA INPUT'!E120^2.2691)/1000,IF('DATA INPUT'!B120="V. ref",(953.69*'DATA INPUT'!E120^1.9524)/1000,IF('DATA INPUT'!B120=1,(695.02*'DATA INPUT'!E120^2.3452)/1000,IF('DATA INPUT'!B120=2,0.3662*'DATA INPUT'!E120^1.5061,FALSE)))))</f>
        <v>0</v>
      </c>
      <c r="Q116" s="3" t="b">
        <f>IF('DATA INPUT'!B120="T. ser",0.1225*('DATA INPUT'!F120*'DATA INPUT'!G120)^0.8272,IF('DATA INPUT'!B120="S. mel",(925.08*('DATA INPUT'!F120*'DATA INPUT'!G120)^1.1603)/1000,IF('DATA INPUT'!B120="V. ref",(776.29*('DATA INPUT'!F120*'DATA INPUT'!G120)^1.1226)/1000,IF('DATA INPUT'!B120=1,(884.6*('DATA INPUT'!F120*'DATA INPUT'!G120)^1.129)/1000,IF('DATA INPUT'!B120=2,0.1225*('DATA INPUT'!F120*'DATA INPUT'!G120)^0.8272,FALSE)))))</f>
        <v>0</v>
      </c>
      <c r="R116" s="3" t="b">
        <f>IF('DATA INPUT'!B120="T. ser",5.5287*('DATA INPUT'!H120*'DATA INPUT'!I120)^0.8272,IF('DATA INPUT'!B120="S. mel",(31469*('DATA INPUT'!H120*'DATA INPUT'!I120)^0.8608)/1000,IF('DATA INPUT'!B120="V. ref",(39394*('DATA INPUT'!H120*'DATA INPUT'!I120)^1.005)/1000,IF('DATA INPUT'!B120=1,(31791*('DATA INPUT'!H120*'DATA INPUT'!I120)^0.8467)/1000,IF('DATA INPUT'!B120=2,5.5287*('DATA INPUT'!H120*'DATA INPUT'!I120)^0.8272,FALSE)))))</f>
        <v>0</v>
      </c>
      <c r="S116" s="3" t="b">
        <f>IF('DATA INPUT'!B120="T. ser",0.0005*I116^0.5148,IF('DATA INPUT'!B120="S. mel",0.051*I116^0.7789/1000,IF('DATA INPUT'!B120="V. ref",0.0958*I116^0.7253/1000,IF('DATA INPUT'!B120=1,0.0426*I116^0.786/1000,IF('DATA INPUT'!B120=2,0.0005*I116^0.5148,FALSE)))))</f>
        <v>0</v>
      </c>
      <c r="T116" s="59">
        <f t="shared" si="9"/>
        <v>0</v>
      </c>
    </row>
    <row r="117" spans="1:20" x14ac:dyDescent="0.2">
      <c r="A117" s="218">
        <f>'DATA INPUT'!C121</f>
        <v>0</v>
      </c>
      <c r="B117" s="11" t="b">
        <f>IF('DATA INPUT'!B121="T. ser",0.1656*'DATA INPUT'!D121^1.4655,IF('DATA INPUT'!B121="S. mel",135.53*'DATA INPUT'!D121^3.8701/1000,IF('DATA INPUT'!B121="V. ref",143.01*'DATA INPUT'!D121^3.3147/1000,IF('DATA INPUT'!B121=1,143.35*'DATA INPUT'!D121^3.6046/1000,IF('DATA INPUT'!B121=2,0.1656*'DATA INPUT'!D121^1.4655,FALSE)))))</f>
        <v>0</v>
      </c>
      <c r="C117" s="8" t="b">
        <f>IF('DATA INPUT'!B121="T. ser",0.3356*'DATA INPUT'!E121^0.9984,IF('DATA INPUT'!B121="S. mel",24.906*'DATA INPUT'!E121^4.7681/1000,IF('DATA INPUT'!B121="V. ref",118.45*'DATA INPUT'!E121^3.5959/1000,IF('DATA INPUT'!B121=1,55.075*'DATA INPUT'!E121^4.0991/1000,IF('DATA INPUT'!B121=2,0.3356*'DATA INPUT'!E121^0.9984,FALSE)))))</f>
        <v>0</v>
      </c>
      <c r="D117" s="18" t="b">
        <f>IF('DATA INPUT'!B121="T. ser",0.0615*('DATA INPUT'!F121*'DATA INPUT'!G121)^0.9573,IF('DATA INPUT'!B121="S. mel",46.162*('DATA INPUT'!F121*'DATA INPUT'!G121)^2.3652/1000,IF('DATA INPUT'!B121="V. ref",90.34*('DATA INPUT'!F121*'DATA INPUT'!G121)^1.9756/1000,IF('DATA INPUT'!B121=1,63.022*('DATA INPUT'!F121*'DATA INPUT'!G121)^2.1551/1000,IF('DATA INPUT'!B121=2,0.0615*('DATA INPUT'!F121*'DATA INPUT'!G121)^0.9573,FALSE)))))</f>
        <v>0</v>
      </c>
      <c r="E117" s="8" t="b">
        <f>IF('DATA INPUT'!B121="T. ser",5.0562*('DATA INPUT'!H121*'DATA INPUT'!I121)^0.9574,IF('DATA INPUT'!B121="S. mel",44047*('DATA INPUT'!H121*'DATA INPUT'!I121)^1.5456/1000,IF('DATA INPUT'!B121="V. ref",91930*('DATA INPUT'!H121*'DATA INPUT'!I121)^1.7774/1000,IF('DATA INPUT'!B121=1,62601*('DATA INPUT'!H121*'DATA INPUT'!I121)^1.6463/1000,IF('DATA INPUT'!B121=2,5.0562*('DATA INPUT'!H121*'DATA INPUT'!I121)^0.9574,FALSE)))))</f>
        <v>0</v>
      </c>
      <c r="F117" s="18" t="b">
        <f>IF('DATA INPUT'!B121="T. ser",0.0009*I117^0.4477,IF('DATA INPUT'!B121="S. mel",0.0000004*I117^1.4912/1000,IF('DATA INPUT'!B121="V. ref",0.00000005*I117^1.6284/1000,IF('DATA INPUT'!B121=1,0.0000007*I117^1.4601/1000,IF('DATA INPUT'!B121=2,0.0009*I117^0.4477,FALSE)))))</f>
        <v>0</v>
      </c>
      <c r="G117" s="57">
        <f t="shared" si="11"/>
        <v>0</v>
      </c>
      <c r="H117" s="57"/>
      <c r="I117" s="2" t="b">
        <f>IF('DATA INPUT'!B121="T. ser",3.142*'DATA INPUT'!N121^2*'DATA INPUT'!O121/3+3.142*'DATA INPUT'!P121^2/3*(3*'DATA INPUT'!N121-'DATA INPUT'!P121),IF('DATA INPUT'!B121="S. mel",3.142*'DATA INPUT'!N121^2*'DATA INPUT'!O121/3+3.142*'DATA INPUT'!P121^2/3*(3*'DATA INPUT'!N121-'DATA INPUT'!P121),IF('DATA INPUT'!B121="V. ref",3.142*'DATA INPUT'!N121^2*'DATA INPUT'!O121/3+3.142*'DATA INPUT'!P121^2/3*(3*'DATA INPUT'!N121-'DATA INPUT'!P121),IF('DATA INPUT'!B121=1,3.142*'DATA INPUT'!N121^2*'DATA INPUT'!O121/3+3.142*'DATA INPUT'!P121^2/3*(3*'DATA INPUT'!N121-'DATA INPUT'!P121),IF('DATA INPUT'!B121=2,3.142*'DATA INPUT'!N121^2*'DATA INPUT'!O121/3+3.142*'DATA INPUT'!P121^2/3*(3*'DATA INPUT'!N121-'DATA INPUT'!P121),FALSE)))))</f>
        <v>0</v>
      </c>
      <c r="J117" s="2" t="b">
        <f>IF('DATA INPUT'!B121="T. ser",0.0458*CALCULATIONS!I117^0.6841,IF('DATA INPUT'!B121="S. mel",0.6047*CALCULATIONS!I117^0.6433,IF('DATA INPUT'!B121="V. ref",0.77086*CALCULATIONS!I117^0.4936,IF('DATA INPUT'!B121=1,0.68778*CALCULATIONS!I117^0.56845,IF('DATA INPUT'!B121=2,0.0458*CALCULATIONS!I117^0.6841,FALSE)))))</f>
        <v>0</v>
      </c>
      <c r="K117" s="3">
        <f t="shared" ref="K117:K122" si="12">J117/500</f>
        <v>0</v>
      </c>
      <c r="L117" s="3" t="b">
        <f>IF('DATA INPUT'!B121="T. ser",('DATA INPUT'!D121+'DATA INPUT'!F121+'DATA INPUT'!H121+'DATA INPUT'!J121)/1.5,IF('DATA INPUT'!B121="V. ref",('DATA INPUT'!D121+'DATA INPUT'!F121+'DATA INPUT'!H121+'DATA INPUT'!J121)/1.5,IF('DATA INPUT'!B121="S. mel",('DATA INPUT'!D121+'DATA INPUT'!F121+'DATA INPUT'!H121+'DATA INPUT'!J121)/1.5,IF('DATA INPUT'!B121=1,('DATA INPUT'!D121+'DATA INPUT'!F121+'DATA INPUT'!H121+'DATA INPUT'!J121)/1.5,IF('DATA INPUT'!B121=2,('DATA INPUT'!D121+'DATA INPUT'!F121+'DATA INPUT'!H121+'DATA INPUT'!J121)/1.5,FALSE)))))</f>
        <v>0</v>
      </c>
      <c r="N117" s="16">
        <f>'DATA INPUT'!C121</f>
        <v>0</v>
      </c>
      <c r="O117" s="3" t="b">
        <f>IF('DATA INPUT'!B121="T. ser",0.3446*'DATA INPUT'!D121^1.0619,IF('DATA INPUT'!B121="S. mel",(1270.6*'DATA INPUT'!D121^2.0933)/1000,IF('DATA INPUT'!B121="V. ref",(816.25*'DATA INPUT'!D121^2.1754)/1000,IF('DATA INPUT'!B121=1,(1492.4*'DATA INPUT'!D121^1.7591)/1000,IF('DATA INPUT'!B121=2,0.3446*'DATA INPUT'!D121^1.0619,FALSE)))))</f>
        <v>0</v>
      </c>
      <c r="P117" s="3" t="b">
        <f>IF('DATA INPUT'!B121="T. ser",0.3662*'DATA INPUT'!E121^1.5061,IF('DATA INPUT'!B121="S. mel",(748.47*'DATA INPUT'!E121^2.2691)/1000,IF('DATA INPUT'!B121="V. ref",(953.69*'DATA INPUT'!E121^1.9524)/1000,IF('DATA INPUT'!B121=1,(695.02*'DATA INPUT'!E121^2.3452)/1000,IF('DATA INPUT'!B121=2,0.3662*'DATA INPUT'!E121^1.5061,FALSE)))))</f>
        <v>0</v>
      </c>
      <c r="Q117" s="3" t="b">
        <f>IF('DATA INPUT'!B121="T. ser",0.1225*('DATA INPUT'!F121*'DATA INPUT'!G121)^0.8272,IF('DATA INPUT'!B121="S. mel",(925.08*('DATA INPUT'!F121*'DATA INPUT'!G121)^1.1603)/1000,IF('DATA INPUT'!B121="V. ref",(776.29*('DATA INPUT'!F121*'DATA INPUT'!G121)^1.1226)/1000,IF('DATA INPUT'!B121=1,(884.6*('DATA INPUT'!F121*'DATA INPUT'!G121)^1.129)/1000,IF('DATA INPUT'!B121=2,0.1225*('DATA INPUT'!F121*'DATA INPUT'!G121)^0.8272,FALSE)))))</f>
        <v>0</v>
      </c>
      <c r="R117" s="3" t="b">
        <f>IF('DATA INPUT'!B121="T. ser",5.5287*('DATA INPUT'!H121*'DATA INPUT'!I121)^0.8272,IF('DATA INPUT'!B121="S. mel",(31469*('DATA INPUT'!H121*'DATA INPUT'!I121)^0.8608)/1000,IF('DATA INPUT'!B121="V. ref",(39394*('DATA INPUT'!H121*'DATA INPUT'!I121)^1.005)/1000,IF('DATA INPUT'!B121=1,(31791*('DATA INPUT'!H121*'DATA INPUT'!I121)^0.8467)/1000,IF('DATA INPUT'!B121=2,5.5287*('DATA INPUT'!H121*'DATA INPUT'!I121)^0.8272,FALSE)))))</f>
        <v>0</v>
      </c>
      <c r="S117" s="3" t="b">
        <f>IF('DATA INPUT'!B121="T. ser",0.0005*I117^0.5148,IF('DATA INPUT'!B121="S. mel",0.051*I117^0.7789/1000,IF('DATA INPUT'!B121="V. ref",0.0958*I117^0.7253/1000,IF('DATA INPUT'!B121=1,0.0426*I117^0.786/1000,IF('DATA INPUT'!B121=2,0.0005*I117^0.5148,FALSE)))))</f>
        <v>0</v>
      </c>
      <c r="T117" s="59">
        <f t="shared" ref="T117:T122" si="13">SUM(O117:S117)</f>
        <v>0</v>
      </c>
    </row>
    <row r="118" spans="1:20" x14ac:dyDescent="0.2">
      <c r="A118" s="218">
        <f>'DATA INPUT'!C122</f>
        <v>0</v>
      </c>
      <c r="B118" s="11" t="b">
        <f>IF('DATA INPUT'!B122="T. ser",0.1656*'DATA INPUT'!D122^1.4655,IF('DATA INPUT'!B122="S. mel",135.53*'DATA INPUT'!D122^3.8701/1000,IF('DATA INPUT'!B122="V. ref",143.01*'DATA INPUT'!D122^3.3147/1000,IF('DATA INPUT'!B122=1,143.35*'DATA INPUT'!D122^3.6046/1000,IF('DATA INPUT'!B122=2,0.1656*'DATA INPUT'!D122^1.4655,FALSE)))))</f>
        <v>0</v>
      </c>
      <c r="C118" s="8" t="b">
        <f>IF('DATA INPUT'!B122="T. ser",0.3356*'DATA INPUT'!E122^0.9984,IF('DATA INPUT'!B122="S. mel",24.906*'DATA INPUT'!E122^4.7681/1000,IF('DATA INPUT'!B122="V. ref",118.45*'DATA INPUT'!E122^3.5959/1000,IF('DATA INPUT'!B122=1,55.075*'DATA INPUT'!E122^4.0991/1000,IF('DATA INPUT'!B122=2,0.3356*'DATA INPUT'!E122^0.9984,FALSE)))))</f>
        <v>0</v>
      </c>
      <c r="D118" s="18" t="b">
        <f>IF('DATA INPUT'!B122="T. ser",0.0615*('DATA INPUT'!F122*'DATA INPUT'!G122)^0.9573,IF('DATA INPUT'!B122="S. mel",46.162*('DATA INPUT'!F122*'DATA INPUT'!G122)^2.3652/1000,IF('DATA INPUT'!B122="V. ref",90.34*('DATA INPUT'!F122*'DATA INPUT'!G122)^1.9756/1000,IF('DATA INPUT'!B122=1,63.022*('DATA INPUT'!F122*'DATA INPUT'!G122)^2.1551/1000,IF('DATA INPUT'!B122=2,0.0615*('DATA INPUT'!F122*'DATA INPUT'!G122)^0.9573,FALSE)))))</f>
        <v>0</v>
      </c>
      <c r="E118" s="8" t="b">
        <f>IF('DATA INPUT'!B122="T. ser",5.0562*('DATA INPUT'!H122*'DATA INPUT'!I122)^0.9574,IF('DATA INPUT'!B122="S. mel",44047*('DATA INPUT'!H122*'DATA INPUT'!I122)^1.5456/1000,IF('DATA INPUT'!B122="V. ref",91930*('DATA INPUT'!H122*'DATA INPUT'!I122)^1.7774/1000,IF('DATA INPUT'!B122=1,62601*('DATA INPUT'!H122*'DATA INPUT'!I122)^1.6463/1000,IF('DATA INPUT'!B122=2,5.0562*('DATA INPUT'!H122*'DATA INPUT'!I122)^0.9574,FALSE)))))</f>
        <v>0</v>
      </c>
      <c r="F118" s="18" t="b">
        <f>IF('DATA INPUT'!B122="T. ser",0.0009*I118^0.4477,IF('DATA INPUT'!B122="S. mel",0.0000004*I118^1.4912/1000,IF('DATA INPUT'!B122="V. ref",0.00000005*I118^1.6284/1000,IF('DATA INPUT'!B122=1,0.0000007*I118^1.4601/1000,IF('DATA INPUT'!B122=2,0.0009*I118^0.4477,FALSE)))))</f>
        <v>0</v>
      </c>
      <c r="G118" s="57">
        <f t="shared" si="11"/>
        <v>0</v>
      </c>
      <c r="H118" s="57"/>
      <c r="I118" s="2" t="b">
        <f>IF('DATA INPUT'!B122="T. ser",3.142*'DATA INPUT'!N122^2*'DATA INPUT'!O122/3+3.142*'DATA INPUT'!P122^2/3*(3*'DATA INPUT'!N122-'DATA INPUT'!P122),IF('DATA INPUT'!B122="S. mel",3.142*'DATA INPUT'!N122^2*'DATA INPUT'!O122/3+3.142*'DATA INPUT'!P122^2/3*(3*'DATA INPUT'!N122-'DATA INPUT'!P122),IF('DATA INPUT'!B122="V. ref",3.142*'DATA INPUT'!N122^2*'DATA INPUT'!O122/3+3.142*'DATA INPUT'!P122^2/3*(3*'DATA INPUT'!N122-'DATA INPUT'!P122),IF('DATA INPUT'!B122=1,3.142*'DATA INPUT'!N122^2*'DATA INPUT'!O122/3+3.142*'DATA INPUT'!P122^2/3*(3*'DATA INPUT'!N122-'DATA INPUT'!P122),IF('DATA INPUT'!B122=2,3.142*'DATA INPUT'!N122^2*'DATA INPUT'!O122/3+3.142*'DATA INPUT'!P122^2/3*(3*'DATA INPUT'!N122-'DATA INPUT'!P122),FALSE)))))</f>
        <v>0</v>
      </c>
      <c r="J118" s="2" t="b">
        <f>IF('DATA INPUT'!B122="T. ser",0.0458*CALCULATIONS!I118^0.6841,IF('DATA INPUT'!B122="S. mel",0.6047*CALCULATIONS!I118^0.6433,IF('DATA INPUT'!B122="V. ref",0.77086*CALCULATIONS!I118^0.4936,IF('DATA INPUT'!B122=1,0.68778*CALCULATIONS!I118^0.56845,IF('DATA INPUT'!B122=2,0.0458*CALCULATIONS!I118^0.6841,FALSE)))))</f>
        <v>0</v>
      </c>
      <c r="K118" s="3">
        <f t="shared" si="12"/>
        <v>0</v>
      </c>
      <c r="L118" s="3" t="b">
        <f>IF('DATA INPUT'!B122="T. ser",('DATA INPUT'!D122+'DATA INPUT'!F122+'DATA INPUT'!H122+'DATA INPUT'!J122)/1.5,IF('DATA INPUT'!B122="V. ref",('DATA INPUT'!D122+'DATA INPUT'!F122+'DATA INPUT'!H122+'DATA INPUT'!J122)/1.5,IF('DATA INPUT'!B122="S. mel",('DATA INPUT'!D122+'DATA INPUT'!F122+'DATA INPUT'!H122+'DATA INPUT'!J122)/1.5,IF('DATA INPUT'!B122=1,('DATA INPUT'!D122+'DATA INPUT'!F122+'DATA INPUT'!H122+'DATA INPUT'!J122)/1.5,IF('DATA INPUT'!B122=2,('DATA INPUT'!D122+'DATA INPUT'!F122+'DATA INPUT'!H122+'DATA INPUT'!J122)/1.5,FALSE)))))</f>
        <v>0</v>
      </c>
      <c r="N118" s="16">
        <f>'DATA INPUT'!C122</f>
        <v>0</v>
      </c>
      <c r="O118" s="3" t="b">
        <f>IF('DATA INPUT'!B122="T. ser",0.3446*'DATA INPUT'!D122^1.0619,IF('DATA INPUT'!B122="S. mel",(1270.6*'DATA INPUT'!D122^2.0933)/1000,IF('DATA INPUT'!B122="V. ref",(816.25*'DATA INPUT'!D122^2.1754)/1000,IF('DATA INPUT'!B122=1,(1492.4*'DATA INPUT'!D122^1.7591)/1000,IF('DATA INPUT'!B122=2,0.3446*'DATA INPUT'!D122^1.0619,FALSE)))))</f>
        <v>0</v>
      </c>
      <c r="P118" s="3" t="b">
        <f>IF('DATA INPUT'!B122="T. ser",0.3662*'DATA INPUT'!E122^1.5061,IF('DATA INPUT'!B122="S. mel",(748.47*'DATA INPUT'!E122^2.2691)/1000,IF('DATA INPUT'!B122="V. ref",(953.69*'DATA INPUT'!E122^1.9524)/1000,IF('DATA INPUT'!B122=1,(695.02*'DATA INPUT'!E122^2.3452)/1000,IF('DATA INPUT'!B122=2,0.3662*'DATA INPUT'!E122^1.5061,FALSE)))))</f>
        <v>0</v>
      </c>
      <c r="Q118" s="3" t="b">
        <f>IF('DATA INPUT'!B122="T. ser",0.1225*('DATA INPUT'!F122*'DATA INPUT'!G122)^0.8272,IF('DATA INPUT'!B122="S. mel",(925.08*('DATA INPUT'!F122*'DATA INPUT'!G122)^1.1603)/1000,IF('DATA INPUT'!B122="V. ref",(776.29*('DATA INPUT'!F122*'DATA INPUT'!G122)^1.1226)/1000,IF('DATA INPUT'!B122=1,(884.6*('DATA INPUT'!F122*'DATA INPUT'!G122)^1.129)/1000,IF('DATA INPUT'!B122=2,0.1225*('DATA INPUT'!F122*'DATA INPUT'!G122)^0.8272,FALSE)))))</f>
        <v>0</v>
      </c>
      <c r="R118" s="3" t="b">
        <f>IF('DATA INPUT'!B122="T. ser",5.5287*('DATA INPUT'!H122*'DATA INPUT'!I122)^0.8272,IF('DATA INPUT'!B122="S. mel",(31469*('DATA INPUT'!H122*'DATA INPUT'!I122)^0.8608)/1000,IF('DATA INPUT'!B122="V. ref",(39394*('DATA INPUT'!H122*'DATA INPUT'!I122)^1.005)/1000,IF('DATA INPUT'!B122=1,(31791*('DATA INPUT'!H122*'DATA INPUT'!I122)^0.8467)/1000,IF('DATA INPUT'!B122=2,5.5287*('DATA INPUT'!H122*'DATA INPUT'!I122)^0.8272,FALSE)))))</f>
        <v>0</v>
      </c>
      <c r="S118" s="3" t="b">
        <f>IF('DATA INPUT'!B122="T. ser",0.0005*I118^0.5148,IF('DATA INPUT'!B122="S. mel",0.051*I118^0.7789/1000,IF('DATA INPUT'!B122="V. ref",0.0958*I118^0.7253/1000,IF('DATA INPUT'!B122=1,0.0426*I118^0.786/1000,IF('DATA INPUT'!B122=2,0.0005*I118^0.5148,FALSE)))))</f>
        <v>0</v>
      </c>
      <c r="T118" s="59">
        <f t="shared" si="13"/>
        <v>0</v>
      </c>
    </row>
    <row r="119" spans="1:20" x14ac:dyDescent="0.2">
      <c r="A119" s="218">
        <f>'DATA INPUT'!C123</f>
        <v>0</v>
      </c>
      <c r="B119" s="11" t="b">
        <f>IF('DATA INPUT'!B123="T. ser",0.1656*'DATA INPUT'!D123^1.4655,IF('DATA INPUT'!B123="S. mel",135.53*'DATA INPUT'!D123^3.8701/1000,IF('DATA INPUT'!B123="V. ref",143.01*'DATA INPUT'!D123^3.3147/1000,IF('DATA INPUT'!B123=1,143.35*'DATA INPUT'!D123^3.6046/1000,IF('DATA INPUT'!B123=2,0.1656*'DATA INPUT'!D123^1.4655,FALSE)))))</f>
        <v>0</v>
      </c>
      <c r="C119" s="8" t="b">
        <f>IF('DATA INPUT'!B123="T. ser",0.3356*'DATA INPUT'!E123^0.9984,IF('DATA INPUT'!B123="S. mel",24.906*'DATA INPUT'!E123^4.7681/1000,IF('DATA INPUT'!B123="V. ref",118.45*'DATA INPUT'!E123^3.5959/1000,IF('DATA INPUT'!B123=1,55.075*'DATA INPUT'!E123^4.0991/1000,IF('DATA INPUT'!B123=2,0.3356*'DATA INPUT'!E123^0.9984,FALSE)))))</f>
        <v>0</v>
      </c>
      <c r="D119" s="18" t="b">
        <f>IF('DATA INPUT'!B123="T. ser",0.0615*('DATA INPUT'!F123*'DATA INPUT'!G123)^0.9573,IF('DATA INPUT'!B123="S. mel",46.162*('DATA INPUT'!F123*'DATA INPUT'!G123)^2.3652/1000,IF('DATA INPUT'!B123="V. ref",90.34*('DATA INPUT'!F123*'DATA INPUT'!G123)^1.9756/1000,IF('DATA INPUT'!B123=1,63.022*('DATA INPUT'!F123*'DATA INPUT'!G123)^2.1551/1000,IF('DATA INPUT'!B123=2,0.0615*('DATA INPUT'!F123*'DATA INPUT'!G123)^0.9573,FALSE)))))</f>
        <v>0</v>
      </c>
      <c r="E119" s="8" t="b">
        <f>IF('DATA INPUT'!B123="T. ser",5.0562*('DATA INPUT'!H123*'DATA INPUT'!I123)^0.9574,IF('DATA INPUT'!B123="S. mel",44047*('DATA INPUT'!H123*'DATA INPUT'!I123)^1.5456/1000,IF('DATA INPUT'!B123="V. ref",91930*('DATA INPUT'!H123*'DATA INPUT'!I123)^1.7774/1000,IF('DATA INPUT'!B123=1,62601*('DATA INPUT'!H123*'DATA INPUT'!I123)^1.6463/1000,IF('DATA INPUT'!B123=2,5.0562*('DATA INPUT'!H123*'DATA INPUT'!I123)^0.9574,FALSE)))))</f>
        <v>0</v>
      </c>
      <c r="F119" s="18" t="b">
        <f>IF('DATA INPUT'!B123="T. ser",0.0009*I119^0.4477,IF('DATA INPUT'!B123="S. mel",0.0000004*I119^1.4912/1000,IF('DATA INPUT'!B123="V. ref",0.00000005*I119^1.6284/1000,IF('DATA INPUT'!B123=1,0.0000007*I119^1.4601/1000,IF('DATA INPUT'!B123=2,0.0009*I119^0.4477,FALSE)))))</f>
        <v>0</v>
      </c>
      <c r="G119" s="57">
        <f t="shared" si="11"/>
        <v>0</v>
      </c>
      <c r="H119" s="57"/>
      <c r="I119" s="2" t="b">
        <f>IF('DATA INPUT'!B123="T. ser",3.142*'DATA INPUT'!N123^2*'DATA INPUT'!O123/3+3.142*'DATA INPUT'!P123^2/3*(3*'DATA INPUT'!N123-'DATA INPUT'!P123),IF('DATA INPUT'!B123="S. mel",3.142*'DATA INPUT'!N123^2*'DATA INPUT'!O123/3+3.142*'DATA INPUT'!P123^2/3*(3*'DATA INPUT'!N123-'DATA INPUT'!P123),IF('DATA INPUT'!B123="V. ref",3.142*'DATA INPUT'!N123^2*'DATA INPUT'!O123/3+3.142*'DATA INPUT'!P123^2/3*(3*'DATA INPUT'!N123-'DATA INPUT'!P123),IF('DATA INPUT'!B123=1,3.142*'DATA INPUT'!N123^2*'DATA INPUT'!O123/3+3.142*'DATA INPUT'!P123^2/3*(3*'DATA INPUT'!N123-'DATA INPUT'!P123),IF('DATA INPUT'!B123=2,3.142*'DATA INPUT'!N123^2*'DATA INPUT'!O123/3+3.142*'DATA INPUT'!P123^2/3*(3*'DATA INPUT'!N123-'DATA INPUT'!P123),FALSE)))))</f>
        <v>0</v>
      </c>
      <c r="J119" s="2" t="b">
        <f>IF('DATA INPUT'!B123="T. ser",0.0458*CALCULATIONS!I119^0.6841,IF('DATA INPUT'!B123="S. mel",0.6047*CALCULATIONS!I119^0.6433,IF('DATA INPUT'!B123="V. ref",0.77086*CALCULATIONS!I119^0.4936,IF('DATA INPUT'!B123=1,0.68778*CALCULATIONS!I119^0.56845,IF('DATA INPUT'!B123=2,0.0458*CALCULATIONS!I119^0.6841,FALSE)))))</f>
        <v>0</v>
      </c>
      <c r="K119" s="3">
        <f t="shared" si="12"/>
        <v>0</v>
      </c>
      <c r="L119" s="3" t="b">
        <f>IF('DATA INPUT'!B123="T. ser",('DATA INPUT'!D123+'DATA INPUT'!F123+'DATA INPUT'!H123+'DATA INPUT'!J123)/1.5,IF('DATA INPUT'!B123="V. ref",('DATA INPUT'!D123+'DATA INPUT'!F123+'DATA INPUT'!H123+'DATA INPUT'!J123)/1.5,IF('DATA INPUT'!B123="S. mel",('DATA INPUT'!D123+'DATA INPUT'!F123+'DATA INPUT'!H123+'DATA INPUT'!J123)/1.5,IF('DATA INPUT'!B123=1,('DATA INPUT'!D123+'DATA INPUT'!F123+'DATA INPUT'!H123+'DATA INPUT'!J123)/1.5,IF('DATA INPUT'!B123=2,('DATA INPUT'!D123+'DATA INPUT'!F123+'DATA INPUT'!H123+'DATA INPUT'!J123)/1.5,FALSE)))))</f>
        <v>0</v>
      </c>
      <c r="N119" s="16">
        <f>'DATA INPUT'!C123</f>
        <v>0</v>
      </c>
      <c r="O119" s="3" t="b">
        <f>IF('DATA INPUT'!B123="T. ser",0.3446*'DATA INPUT'!D123^1.0619,IF('DATA INPUT'!B123="S. mel",(1270.6*'DATA INPUT'!D123^2.0933)/1000,IF('DATA INPUT'!B123="V. ref",(816.25*'DATA INPUT'!D123^2.1754)/1000,IF('DATA INPUT'!B123=1,(1492.4*'DATA INPUT'!D123^1.7591)/1000,IF('DATA INPUT'!B123=2,0.3446*'DATA INPUT'!D123^1.0619,FALSE)))))</f>
        <v>0</v>
      </c>
      <c r="P119" s="3" t="b">
        <f>IF('DATA INPUT'!B123="T. ser",0.3662*'DATA INPUT'!E123^1.5061,IF('DATA INPUT'!B123="S. mel",(748.47*'DATA INPUT'!E123^2.2691)/1000,IF('DATA INPUT'!B123="V. ref",(953.69*'DATA INPUT'!E123^1.9524)/1000,IF('DATA INPUT'!B123=1,(695.02*'DATA INPUT'!E123^2.3452)/1000,IF('DATA INPUT'!B123=2,0.3662*'DATA INPUT'!E123^1.5061,FALSE)))))</f>
        <v>0</v>
      </c>
      <c r="Q119" s="3" t="b">
        <f>IF('DATA INPUT'!B123="T. ser",0.1225*('DATA INPUT'!F123*'DATA INPUT'!G123)^0.8272,IF('DATA INPUT'!B123="S. mel",(925.08*('DATA INPUT'!F123*'DATA INPUT'!G123)^1.1603)/1000,IF('DATA INPUT'!B123="V. ref",(776.29*('DATA INPUT'!F123*'DATA INPUT'!G123)^1.1226)/1000,IF('DATA INPUT'!B123=1,(884.6*('DATA INPUT'!F123*'DATA INPUT'!G123)^1.129)/1000,IF('DATA INPUT'!B123=2,0.1225*('DATA INPUT'!F123*'DATA INPUT'!G123)^0.8272,FALSE)))))</f>
        <v>0</v>
      </c>
      <c r="R119" s="3" t="b">
        <f>IF('DATA INPUT'!B123="T. ser",5.5287*('DATA INPUT'!H123*'DATA INPUT'!I123)^0.8272,IF('DATA INPUT'!B123="S. mel",(31469*('DATA INPUT'!H123*'DATA INPUT'!I123)^0.8608)/1000,IF('DATA INPUT'!B123="V. ref",(39394*('DATA INPUT'!H123*'DATA INPUT'!I123)^1.005)/1000,IF('DATA INPUT'!B123=1,(31791*('DATA INPUT'!H123*'DATA INPUT'!I123)^0.8467)/1000,IF('DATA INPUT'!B123=2,5.5287*('DATA INPUT'!H123*'DATA INPUT'!I123)^0.8272,FALSE)))))</f>
        <v>0</v>
      </c>
      <c r="S119" s="3" t="b">
        <f>IF('DATA INPUT'!B123="T. ser",0.0005*I119^0.5148,IF('DATA INPUT'!B123="S. mel",0.051*I119^0.7789/1000,IF('DATA INPUT'!B123="V. ref",0.0958*I119^0.7253/1000,IF('DATA INPUT'!B123=1,0.0426*I119^0.786/1000,IF('DATA INPUT'!B123=2,0.0005*I119^0.5148,FALSE)))))</f>
        <v>0</v>
      </c>
      <c r="T119" s="59">
        <f t="shared" si="13"/>
        <v>0</v>
      </c>
    </row>
    <row r="120" spans="1:20" x14ac:dyDescent="0.2">
      <c r="A120" s="218">
        <f>'DATA INPUT'!C124</f>
        <v>0</v>
      </c>
      <c r="B120" s="11" t="b">
        <f>IF('DATA INPUT'!B124="T. ser",0.1656*'DATA INPUT'!D124^1.4655,IF('DATA INPUT'!B124="S. mel",135.53*'DATA INPUT'!D124^3.8701/1000,IF('DATA INPUT'!B124="V. ref",143.01*'DATA INPUT'!D124^3.3147/1000,IF('DATA INPUT'!B124=1,143.35*'DATA INPUT'!D124^3.6046/1000,IF('DATA INPUT'!B124=2,0.1656*'DATA INPUT'!D124^1.4655,FALSE)))))</f>
        <v>0</v>
      </c>
      <c r="C120" s="8" t="b">
        <f>IF('DATA INPUT'!B124="T. ser",0.3356*'DATA INPUT'!E124^0.9984,IF('DATA INPUT'!B124="S. mel",24.906*'DATA INPUT'!E124^4.7681/1000,IF('DATA INPUT'!B124="V. ref",118.45*'DATA INPUT'!E124^3.5959/1000,IF('DATA INPUT'!B124=1,55.075*'DATA INPUT'!E124^4.0991/1000,IF('DATA INPUT'!B124=2,0.3356*'DATA INPUT'!E124^0.9984,FALSE)))))</f>
        <v>0</v>
      </c>
      <c r="D120" s="18" t="b">
        <f>IF('DATA INPUT'!B124="T. ser",0.0615*('DATA INPUT'!F124*'DATA INPUT'!G124)^0.9573,IF('DATA INPUT'!B124="S. mel",46.162*('DATA INPUT'!F124*'DATA INPUT'!G124)^2.3652/1000,IF('DATA INPUT'!B124="V. ref",90.34*('DATA INPUT'!F124*'DATA INPUT'!G124)^1.9756/1000,IF('DATA INPUT'!B124=1,63.022*('DATA INPUT'!F124*'DATA INPUT'!G124)^2.1551/1000,IF('DATA INPUT'!B124=2,0.0615*('DATA INPUT'!F124*'DATA INPUT'!G124)^0.9573,FALSE)))))</f>
        <v>0</v>
      </c>
      <c r="E120" s="8" t="b">
        <f>IF('DATA INPUT'!B124="T. ser",5.0562*('DATA INPUT'!H124*'DATA INPUT'!I124)^0.9574,IF('DATA INPUT'!B124="S. mel",44047*('DATA INPUT'!H124*'DATA INPUT'!I124)^1.5456/1000,IF('DATA INPUT'!B124="V. ref",91930*('DATA INPUT'!H124*'DATA INPUT'!I124)^1.7774/1000,IF('DATA INPUT'!B124=1,62601*('DATA INPUT'!H124*'DATA INPUT'!I124)^1.6463/1000,IF('DATA INPUT'!B124=2,5.0562*('DATA INPUT'!H124*'DATA INPUT'!I124)^0.9574,FALSE)))))</f>
        <v>0</v>
      </c>
      <c r="F120" s="18" t="b">
        <f>IF('DATA INPUT'!B124="T. ser",0.0009*I120^0.4477,IF('DATA INPUT'!B124="S. mel",0.0000004*I120^1.4912/1000,IF('DATA INPUT'!B124="V. ref",0.00000005*I120^1.6284/1000,IF('DATA INPUT'!B124=1,0.0000007*I120^1.4601/1000,IF('DATA INPUT'!B124=2,0.0009*I120^0.4477,FALSE)))))</f>
        <v>0</v>
      </c>
      <c r="G120" s="57">
        <f t="shared" si="11"/>
        <v>0</v>
      </c>
      <c r="H120" s="57"/>
      <c r="I120" s="2" t="b">
        <f>IF('DATA INPUT'!B124="T. ser",3.142*'DATA INPUT'!N124^2*'DATA INPUT'!O124/3+3.142*'DATA INPUT'!P124^2/3*(3*'DATA INPUT'!N124-'DATA INPUT'!P124),IF('DATA INPUT'!B124="S. mel",3.142*'DATA INPUT'!N124^2*'DATA INPUT'!O124/3+3.142*'DATA INPUT'!P124^2/3*(3*'DATA INPUT'!N124-'DATA INPUT'!P124),IF('DATA INPUT'!B124="V. ref",3.142*'DATA INPUT'!N124^2*'DATA INPUT'!O124/3+3.142*'DATA INPUT'!P124^2/3*(3*'DATA INPUT'!N124-'DATA INPUT'!P124),IF('DATA INPUT'!B124=1,3.142*'DATA INPUT'!N124^2*'DATA INPUT'!O124/3+3.142*'DATA INPUT'!P124^2/3*(3*'DATA INPUT'!N124-'DATA INPUT'!P124),IF('DATA INPUT'!B124=2,3.142*'DATA INPUT'!N124^2*'DATA INPUT'!O124/3+3.142*'DATA INPUT'!P124^2/3*(3*'DATA INPUT'!N124-'DATA INPUT'!P124),FALSE)))))</f>
        <v>0</v>
      </c>
      <c r="J120" s="2" t="b">
        <f>IF('DATA INPUT'!B124="T. ser",0.0458*CALCULATIONS!I120^0.6841,IF('DATA INPUT'!B124="S. mel",0.6047*CALCULATIONS!I120^0.6433,IF('DATA INPUT'!B124="V. ref",0.77086*CALCULATIONS!I120^0.4936,IF('DATA INPUT'!B124=1,0.68778*CALCULATIONS!I120^0.56845,IF('DATA INPUT'!B124=2,0.0458*CALCULATIONS!I120^0.6841,FALSE)))))</f>
        <v>0</v>
      </c>
      <c r="K120" s="3">
        <f t="shared" si="12"/>
        <v>0</v>
      </c>
      <c r="L120" s="3" t="b">
        <f>IF('DATA INPUT'!B124="T. ser",('DATA INPUT'!D124+'DATA INPUT'!F124+'DATA INPUT'!H124+'DATA INPUT'!J124)/1.5,IF('DATA INPUT'!B124="V. ref",('DATA INPUT'!D124+'DATA INPUT'!F124+'DATA INPUT'!H124+'DATA INPUT'!J124)/1.5,IF('DATA INPUT'!B124="S. mel",('DATA INPUT'!D124+'DATA INPUT'!F124+'DATA INPUT'!H124+'DATA INPUT'!J124)/1.5,IF('DATA INPUT'!B124=1,('DATA INPUT'!D124+'DATA INPUT'!F124+'DATA INPUT'!H124+'DATA INPUT'!J124)/1.5,IF('DATA INPUT'!B124=2,('DATA INPUT'!D124+'DATA INPUT'!F124+'DATA INPUT'!H124+'DATA INPUT'!J124)/1.5,FALSE)))))</f>
        <v>0</v>
      </c>
      <c r="N120" s="16">
        <f>'DATA INPUT'!C124</f>
        <v>0</v>
      </c>
      <c r="O120" s="3" t="b">
        <f>IF('DATA INPUT'!B124="T. ser",0.3446*'DATA INPUT'!D124^1.0619,IF('DATA INPUT'!B124="S. mel",(1270.6*'DATA INPUT'!D124^2.0933)/1000,IF('DATA INPUT'!B124="V. ref",(816.25*'DATA INPUT'!D124^2.1754)/1000,IF('DATA INPUT'!B124=1,(1492.4*'DATA INPUT'!D124^1.7591)/1000,IF('DATA INPUT'!B124=2,0.3446*'DATA INPUT'!D124^1.0619,FALSE)))))</f>
        <v>0</v>
      </c>
      <c r="P120" s="3" t="b">
        <f>IF('DATA INPUT'!B124="T. ser",0.3662*'DATA INPUT'!E124^1.5061,IF('DATA INPUT'!B124="S. mel",(748.47*'DATA INPUT'!E124^2.2691)/1000,IF('DATA INPUT'!B124="V. ref",(953.69*'DATA INPUT'!E124^1.9524)/1000,IF('DATA INPUT'!B124=1,(695.02*'DATA INPUT'!E124^2.3452)/1000,IF('DATA INPUT'!B124=2,0.3662*'DATA INPUT'!E124^1.5061,FALSE)))))</f>
        <v>0</v>
      </c>
      <c r="Q120" s="3" t="b">
        <f>IF('DATA INPUT'!B124="T. ser",0.1225*('DATA INPUT'!F124*'DATA INPUT'!G124)^0.8272,IF('DATA INPUT'!B124="S. mel",(925.08*('DATA INPUT'!F124*'DATA INPUT'!G124)^1.1603)/1000,IF('DATA INPUT'!B124="V. ref",(776.29*('DATA INPUT'!F124*'DATA INPUT'!G124)^1.1226)/1000,IF('DATA INPUT'!B124=1,(884.6*('DATA INPUT'!F124*'DATA INPUT'!G124)^1.129)/1000,IF('DATA INPUT'!B124=2,0.1225*('DATA INPUT'!F124*'DATA INPUT'!G124)^0.8272,FALSE)))))</f>
        <v>0</v>
      </c>
      <c r="R120" s="3" t="b">
        <f>IF('DATA INPUT'!B124="T. ser",5.5287*('DATA INPUT'!H124*'DATA INPUT'!I124)^0.8272,IF('DATA INPUT'!B124="S. mel",(31469*('DATA INPUT'!H124*'DATA INPUT'!I124)^0.8608)/1000,IF('DATA INPUT'!B124="V. ref",(39394*('DATA INPUT'!H124*'DATA INPUT'!I124)^1.005)/1000,IF('DATA INPUT'!B124=1,(31791*('DATA INPUT'!H124*'DATA INPUT'!I124)^0.8467)/1000,IF('DATA INPUT'!B124=2,5.5287*('DATA INPUT'!H124*'DATA INPUT'!I124)^0.8272,FALSE)))))</f>
        <v>0</v>
      </c>
      <c r="S120" s="3" t="b">
        <f>IF('DATA INPUT'!B124="T. ser",0.0005*I120^0.5148,IF('DATA INPUT'!B124="S. mel",0.051*I120^0.7789/1000,IF('DATA INPUT'!B124="V. ref",0.0958*I120^0.7253/1000,IF('DATA INPUT'!B124=1,0.0426*I120^0.786/1000,IF('DATA INPUT'!B124=2,0.0005*I120^0.5148,FALSE)))))</f>
        <v>0</v>
      </c>
      <c r="T120" s="59">
        <f t="shared" si="13"/>
        <v>0</v>
      </c>
    </row>
    <row r="121" spans="1:20" x14ac:dyDescent="0.2">
      <c r="A121" s="218">
        <f>'DATA INPUT'!C125</f>
        <v>0</v>
      </c>
      <c r="B121" s="11" t="b">
        <f>IF('DATA INPUT'!B125="T. ser",0.1656*'DATA INPUT'!D125^1.4655,IF('DATA INPUT'!B125="S. mel",135.53*'DATA INPUT'!D125^3.8701/1000,IF('DATA INPUT'!B125="V. ref",143.01*'DATA INPUT'!D125^3.3147/1000,IF('DATA INPUT'!B125=1,143.35*'DATA INPUT'!D125^3.6046/1000,IF('DATA INPUT'!B125=2,0.1656*'DATA INPUT'!D125^1.4655,FALSE)))))</f>
        <v>0</v>
      </c>
      <c r="C121" s="8" t="b">
        <f>IF('DATA INPUT'!B125="T. ser",0.3356*'DATA INPUT'!E125^0.9984,IF('DATA INPUT'!B125="S. mel",24.906*'DATA INPUT'!E125^4.7681/1000,IF('DATA INPUT'!B125="V. ref",118.45*'DATA INPUT'!E125^3.5959/1000,IF('DATA INPUT'!B125=1,55.075*'DATA INPUT'!E125^4.0991/1000,IF('DATA INPUT'!B125=2,0.3356*'DATA INPUT'!E125^0.9984,FALSE)))))</f>
        <v>0</v>
      </c>
      <c r="D121" s="18" t="b">
        <f>IF('DATA INPUT'!B125="T. ser",0.0615*('DATA INPUT'!F125*'DATA INPUT'!G125)^0.9573,IF('DATA INPUT'!B125="S. mel",46.162*('DATA INPUT'!F125*'DATA INPUT'!G125)^2.3652/1000,IF('DATA INPUT'!B125="V. ref",90.34*('DATA INPUT'!F125*'DATA INPUT'!G125)^1.9756/1000,IF('DATA INPUT'!B125=1,63.022*('DATA INPUT'!F125*'DATA INPUT'!G125)^2.1551/1000,IF('DATA INPUT'!B125=2,0.0615*('DATA INPUT'!F125*'DATA INPUT'!G125)^0.9573,FALSE)))))</f>
        <v>0</v>
      </c>
      <c r="E121" s="8" t="b">
        <f>IF('DATA INPUT'!B125="T. ser",5.0562*('DATA INPUT'!H125*'DATA INPUT'!I125)^0.9574,IF('DATA INPUT'!B125="S. mel",44047*('DATA INPUT'!H125*'DATA INPUT'!I125)^1.5456/1000,IF('DATA INPUT'!B125="V. ref",91930*('DATA INPUT'!H125*'DATA INPUT'!I125)^1.7774/1000,IF('DATA INPUT'!B125=1,62601*('DATA INPUT'!H125*'DATA INPUT'!I125)^1.6463/1000,IF('DATA INPUT'!B125=2,5.0562*('DATA INPUT'!H125*'DATA INPUT'!I125)^0.9574,FALSE)))))</f>
        <v>0</v>
      </c>
      <c r="F121" s="18" t="b">
        <f>IF('DATA INPUT'!B125="T. ser",0.0009*I121^0.4477,IF('DATA INPUT'!B125="S. mel",0.0000004*I121^1.4912/1000,IF('DATA INPUT'!B125="V. ref",0.00000005*I121^1.6284/1000,IF('DATA INPUT'!B125=1,0.0000007*I121^1.4601/1000,IF('DATA INPUT'!B125=2,0.0009*I121^0.4477,FALSE)))))</f>
        <v>0</v>
      </c>
      <c r="G121" s="57">
        <f t="shared" si="11"/>
        <v>0</v>
      </c>
      <c r="H121" s="57"/>
      <c r="I121" s="2" t="b">
        <f>IF('DATA INPUT'!B125="T. ser",3.142*'DATA INPUT'!N125^2*'DATA INPUT'!O125/3+3.142*'DATA INPUT'!P125^2/3*(3*'DATA INPUT'!N125-'DATA INPUT'!P125),IF('DATA INPUT'!B125="S. mel",3.142*'DATA INPUT'!N125^2*'DATA INPUT'!O125/3+3.142*'DATA INPUT'!P125^2/3*(3*'DATA INPUT'!N125-'DATA INPUT'!P125),IF('DATA INPUT'!B125="V. ref",3.142*'DATA INPUT'!N125^2*'DATA INPUT'!O125/3+3.142*'DATA INPUT'!P125^2/3*(3*'DATA INPUT'!N125-'DATA INPUT'!P125),IF('DATA INPUT'!B125=1,3.142*'DATA INPUT'!N125^2*'DATA INPUT'!O125/3+3.142*'DATA INPUT'!P125^2/3*(3*'DATA INPUT'!N125-'DATA INPUT'!P125),IF('DATA INPUT'!B125=2,3.142*'DATA INPUT'!N125^2*'DATA INPUT'!O125/3+3.142*'DATA INPUT'!P125^2/3*(3*'DATA INPUT'!N125-'DATA INPUT'!P125),FALSE)))))</f>
        <v>0</v>
      </c>
      <c r="J121" s="2" t="b">
        <f>IF('DATA INPUT'!B125="T. ser",0.0458*CALCULATIONS!I121^0.6841,IF('DATA INPUT'!B125="S. mel",0.6047*CALCULATIONS!I121^0.6433,IF('DATA INPUT'!B125="V. ref",0.77086*CALCULATIONS!I121^0.4936,IF('DATA INPUT'!B125=1,0.68778*CALCULATIONS!I121^0.56845,IF('DATA INPUT'!B125=2,0.0458*CALCULATIONS!I121^0.6841,FALSE)))))</f>
        <v>0</v>
      </c>
      <c r="K121" s="3">
        <f t="shared" si="12"/>
        <v>0</v>
      </c>
      <c r="L121" s="3" t="b">
        <f>IF('DATA INPUT'!B125="T. ser",('DATA INPUT'!D125+'DATA INPUT'!F125+'DATA INPUT'!H125+'DATA INPUT'!J125)/1.5,IF('DATA INPUT'!B125="V. ref",('DATA INPUT'!D125+'DATA INPUT'!F125+'DATA INPUT'!H125+'DATA INPUT'!J125)/1.5,IF('DATA INPUT'!B125="S. mel",('DATA INPUT'!D125+'DATA INPUT'!F125+'DATA INPUT'!H125+'DATA INPUT'!J125)/1.5,IF('DATA INPUT'!B125=1,('DATA INPUT'!D125+'DATA INPUT'!F125+'DATA INPUT'!H125+'DATA INPUT'!J125)/1.5,IF('DATA INPUT'!B125=2,('DATA INPUT'!D125+'DATA INPUT'!F125+'DATA INPUT'!H125+'DATA INPUT'!J125)/1.5,FALSE)))))</f>
        <v>0</v>
      </c>
      <c r="N121" s="16">
        <f>'DATA INPUT'!C125</f>
        <v>0</v>
      </c>
      <c r="O121" s="3" t="b">
        <f>IF('DATA INPUT'!B125="T. ser",0.3446*'DATA INPUT'!D125^1.0619,IF('DATA INPUT'!B125="S. mel",(1270.6*'DATA INPUT'!D125^2.0933)/1000,IF('DATA INPUT'!B125="V. ref",(816.25*'DATA INPUT'!D125^2.1754)/1000,IF('DATA INPUT'!B125=1,(1492.4*'DATA INPUT'!D125^1.7591)/1000,IF('DATA INPUT'!B125=2,0.3446*'DATA INPUT'!D125^1.0619,FALSE)))))</f>
        <v>0</v>
      </c>
      <c r="P121" s="3" t="b">
        <f>IF('DATA INPUT'!B125="T. ser",0.3662*'DATA INPUT'!E125^1.5061,IF('DATA INPUT'!B125="S. mel",(748.47*'DATA INPUT'!E125^2.2691)/1000,IF('DATA INPUT'!B125="V. ref",(953.69*'DATA INPUT'!E125^1.9524)/1000,IF('DATA INPUT'!B125=1,(695.02*'DATA INPUT'!E125^2.3452)/1000,IF('DATA INPUT'!B125=2,0.3662*'DATA INPUT'!E125^1.5061,FALSE)))))</f>
        <v>0</v>
      </c>
      <c r="Q121" s="3" t="b">
        <f>IF('DATA INPUT'!B125="T. ser",0.1225*('DATA INPUT'!F125*'DATA INPUT'!G125)^0.8272,IF('DATA INPUT'!B125="S. mel",(925.08*('DATA INPUT'!F125*'DATA INPUT'!G125)^1.1603)/1000,IF('DATA INPUT'!B125="V. ref",(776.29*('DATA INPUT'!F125*'DATA INPUT'!G125)^1.1226)/1000,IF('DATA INPUT'!B125=1,(884.6*('DATA INPUT'!F125*'DATA INPUT'!G125)^1.129)/1000,IF('DATA INPUT'!B125=2,0.1225*('DATA INPUT'!F125*'DATA INPUT'!G125)^0.8272,FALSE)))))</f>
        <v>0</v>
      </c>
      <c r="R121" s="3" t="b">
        <f>IF('DATA INPUT'!B125="T. ser",5.5287*('DATA INPUT'!H125*'DATA INPUT'!I125)^0.8272,IF('DATA INPUT'!B125="S. mel",(31469*('DATA INPUT'!H125*'DATA INPUT'!I125)^0.8608)/1000,IF('DATA INPUT'!B125="V. ref",(39394*('DATA INPUT'!H125*'DATA INPUT'!I125)^1.005)/1000,IF('DATA INPUT'!B125=1,(31791*('DATA INPUT'!H125*'DATA INPUT'!I125)^0.8467)/1000,IF('DATA INPUT'!B125=2,5.5287*('DATA INPUT'!H125*'DATA INPUT'!I125)^0.8272,FALSE)))))</f>
        <v>0</v>
      </c>
      <c r="S121" s="3" t="b">
        <f>IF('DATA INPUT'!B125="T. ser",0.0005*I121^0.5148,IF('DATA INPUT'!B125="S. mel",0.051*I121^0.7789/1000,IF('DATA INPUT'!B125="V. ref",0.0958*I121^0.7253/1000,IF('DATA INPUT'!B125=1,0.0426*I121^0.786/1000,IF('DATA INPUT'!B125=2,0.0005*I121^0.5148,FALSE)))))</f>
        <v>0</v>
      </c>
      <c r="T121" s="59">
        <f t="shared" si="13"/>
        <v>0</v>
      </c>
    </row>
    <row r="122" spans="1:20" x14ac:dyDescent="0.2">
      <c r="A122" s="218">
        <f>'DATA INPUT'!C126</f>
        <v>0</v>
      </c>
      <c r="B122" s="11" t="b">
        <f>IF('DATA INPUT'!B126="T. ser",0.1656*'DATA INPUT'!D126^1.4655,IF('DATA INPUT'!B126="S. mel",135.53*'DATA INPUT'!D126^3.8701/1000,IF('DATA INPUT'!B126="V. ref",143.01*'DATA INPUT'!D126^3.3147/1000,IF('DATA INPUT'!B126=1,143.35*'DATA INPUT'!D126^3.6046/1000,IF('DATA INPUT'!B126=2,0.1656*'DATA INPUT'!D126^1.4655,FALSE)))))</f>
        <v>0</v>
      </c>
      <c r="C122" s="8" t="b">
        <f>IF('DATA INPUT'!B126="T. ser",0.3356*'DATA INPUT'!E126^0.9984,IF('DATA INPUT'!B126="S. mel",24.906*'DATA INPUT'!E126^4.7681/1000,IF('DATA INPUT'!B126="V. ref",118.45*'DATA INPUT'!E126^3.5959/1000,IF('DATA INPUT'!B126=1,55.075*'DATA INPUT'!E126^4.0991/1000,IF('DATA INPUT'!B126=2,0.3356*'DATA INPUT'!E126^0.9984,FALSE)))))</f>
        <v>0</v>
      </c>
      <c r="D122" s="18" t="b">
        <f>IF('DATA INPUT'!B126="T. ser",0.0615*('DATA INPUT'!F126*'DATA INPUT'!G126)^0.9573,IF('DATA INPUT'!B126="S. mel",46.162*('DATA INPUT'!F126*'DATA INPUT'!G126)^2.3652/1000,IF('DATA INPUT'!B126="V. ref",90.34*('DATA INPUT'!F126*'DATA INPUT'!G126)^1.9756/1000,IF('DATA INPUT'!B126=1,63.022*('DATA INPUT'!F126*'DATA INPUT'!G126)^2.1551/1000,IF('DATA INPUT'!B126=2,0.0615*('DATA INPUT'!F126*'DATA INPUT'!G126)^0.9573,FALSE)))))</f>
        <v>0</v>
      </c>
      <c r="E122" s="8" t="b">
        <f>IF('DATA INPUT'!B126="T. ser",5.0562*('DATA INPUT'!H126*'DATA INPUT'!I126)^0.9574,IF('DATA INPUT'!B126="S. mel",44047*('DATA INPUT'!H126*'DATA INPUT'!I126)^1.5456/1000,IF('DATA INPUT'!B126="V. ref",91930*('DATA INPUT'!H126*'DATA INPUT'!I126)^1.7774/1000,IF('DATA INPUT'!B126=1,62601*('DATA INPUT'!H126*'DATA INPUT'!I126)^1.6463/1000,IF('DATA INPUT'!B126=2,5.0562*('DATA INPUT'!H126*'DATA INPUT'!I126)^0.9574,FALSE)))))</f>
        <v>0</v>
      </c>
      <c r="F122" s="18" t="b">
        <f>IF('DATA INPUT'!B126="T. ser",0.0009*I122^0.4477,IF('DATA INPUT'!B126="S. mel",0.0000004*I122^1.4912/1000,IF('DATA INPUT'!B126="V. ref",0.00000005*I122^1.6284/1000,IF('DATA INPUT'!B126=1,0.0000007*I122^1.4601/1000,IF('DATA INPUT'!B126=2,0.0009*I122^0.4477,FALSE)))))</f>
        <v>0</v>
      </c>
      <c r="G122" s="57">
        <f t="shared" si="11"/>
        <v>0</v>
      </c>
      <c r="H122" s="57"/>
      <c r="I122" s="2" t="b">
        <f>IF('DATA INPUT'!B126="T. ser",3.142*'DATA INPUT'!N126^2*'DATA INPUT'!O126/3+3.142*'DATA INPUT'!P126^2/3*(3*'DATA INPUT'!N126-'DATA INPUT'!P126),IF('DATA INPUT'!B126="S. mel",3.142*'DATA INPUT'!N126^2*'DATA INPUT'!O126/3+3.142*'DATA INPUT'!P126^2/3*(3*'DATA INPUT'!N126-'DATA INPUT'!P126),IF('DATA INPUT'!B126="V. ref",3.142*'DATA INPUT'!N126^2*'DATA INPUT'!O126/3+3.142*'DATA INPUT'!P126^2/3*(3*'DATA INPUT'!N126-'DATA INPUT'!P126),IF('DATA INPUT'!B126=1,3.142*'DATA INPUT'!N126^2*'DATA INPUT'!O126/3+3.142*'DATA INPUT'!P126^2/3*(3*'DATA INPUT'!N126-'DATA INPUT'!P126),IF('DATA INPUT'!B126=2,3.142*'DATA INPUT'!N126^2*'DATA INPUT'!O126/3+3.142*'DATA INPUT'!P126^2/3*(3*'DATA INPUT'!N126-'DATA INPUT'!P126),FALSE)))))</f>
        <v>0</v>
      </c>
      <c r="J122" s="2" t="b">
        <f>IF('DATA INPUT'!B126="T. ser",0.0458*CALCULATIONS!I122^0.6841,IF('DATA INPUT'!B126="S. mel",0.6047*CALCULATIONS!I122^0.6433,IF('DATA INPUT'!B126="V. ref",0.77086*CALCULATIONS!I122^0.4936,IF('DATA INPUT'!B126=1,0.68778*CALCULATIONS!I122^0.56845,IF('DATA INPUT'!B126=2,0.0458*CALCULATIONS!I122^0.6841,FALSE)))))</f>
        <v>0</v>
      </c>
      <c r="K122" s="3">
        <f t="shared" si="12"/>
        <v>0</v>
      </c>
      <c r="L122" s="3" t="b">
        <f>IF('DATA INPUT'!B126="T. ser",('DATA INPUT'!D126+'DATA INPUT'!F126+'DATA INPUT'!H126+'DATA INPUT'!J126)/1.5,IF('DATA INPUT'!B126="V. ref",('DATA INPUT'!D126+'DATA INPUT'!F126+'DATA INPUT'!H126+'DATA INPUT'!J126)/1.5,IF('DATA INPUT'!B126="S. mel",('DATA INPUT'!D126+'DATA INPUT'!F126+'DATA INPUT'!H126+'DATA INPUT'!J126)/1.5,IF('DATA INPUT'!B126=1,('DATA INPUT'!D126+'DATA INPUT'!F126+'DATA INPUT'!H126+'DATA INPUT'!J126)/1.5,IF('DATA INPUT'!B126=2,('DATA INPUT'!D126+'DATA INPUT'!F126+'DATA INPUT'!H126+'DATA INPUT'!J126)/1.5,FALSE)))))</f>
        <v>0</v>
      </c>
      <c r="N122" s="16">
        <f>'DATA INPUT'!C126</f>
        <v>0</v>
      </c>
      <c r="O122" s="3" t="b">
        <f>IF('DATA INPUT'!B126="T. ser",0.3446*'DATA INPUT'!D126^1.0619,IF('DATA INPUT'!B126="S. mel",(1270.6*'DATA INPUT'!D126^2.0933)/1000,IF('DATA INPUT'!B126="V. ref",(816.25*'DATA INPUT'!D126^2.1754)/1000,IF('DATA INPUT'!B126=1,(1492.4*'DATA INPUT'!D126^1.7591)/1000,IF('DATA INPUT'!B126=2,0.3446*'DATA INPUT'!D126^1.0619,FALSE)))))</f>
        <v>0</v>
      </c>
      <c r="P122" s="3" t="b">
        <f>IF('DATA INPUT'!B126="T. ser",0.3662*'DATA INPUT'!E126^1.5061,IF('DATA INPUT'!B126="S. mel",(748.47*'DATA INPUT'!E126^2.2691)/1000,IF('DATA INPUT'!B126="V. ref",(953.69*'DATA INPUT'!E126^1.9524)/1000,IF('DATA INPUT'!B126=1,(695.02*'DATA INPUT'!E126^2.3452)/1000,IF('DATA INPUT'!B126=2,0.3662*'DATA INPUT'!E126^1.5061,FALSE)))))</f>
        <v>0</v>
      </c>
      <c r="Q122" s="3" t="b">
        <f>IF('DATA INPUT'!B126="T. ser",0.1225*('DATA INPUT'!F126*'DATA INPUT'!G126)^0.8272,IF('DATA INPUT'!B126="S. mel",(925.08*('DATA INPUT'!F126*'DATA INPUT'!G126)^1.1603)/1000,IF('DATA INPUT'!B126="V. ref",(776.29*('DATA INPUT'!F126*'DATA INPUT'!G126)^1.1226)/1000,IF('DATA INPUT'!B126=1,(884.6*('DATA INPUT'!F126*'DATA INPUT'!G126)^1.129)/1000,IF('DATA INPUT'!B126=2,0.1225*('DATA INPUT'!F126*'DATA INPUT'!G126)^0.8272,FALSE)))))</f>
        <v>0</v>
      </c>
      <c r="R122" s="3" t="b">
        <f>IF('DATA INPUT'!B126="T. ser",5.5287*('DATA INPUT'!H126*'DATA INPUT'!I126)^0.8272,IF('DATA INPUT'!B126="S. mel",(31469*('DATA INPUT'!H126*'DATA INPUT'!I126)^0.8608)/1000,IF('DATA INPUT'!B126="V. ref",(39394*('DATA INPUT'!H126*'DATA INPUT'!I126)^1.005)/1000,IF('DATA INPUT'!B126=1,(31791*('DATA INPUT'!H126*'DATA INPUT'!I126)^0.8467)/1000,IF('DATA INPUT'!B126=2,5.5287*('DATA INPUT'!H126*'DATA INPUT'!I126)^0.8272,FALSE)))))</f>
        <v>0</v>
      </c>
      <c r="S122" s="3" t="b">
        <f>IF('DATA INPUT'!B126="T. ser",0.0005*I122^0.5148,IF('DATA INPUT'!B126="S. mel",0.051*I122^0.7789/1000,IF('DATA INPUT'!B126="V. ref",0.0958*I122^0.7253/1000,IF('DATA INPUT'!B126=1,0.0426*I122^0.786/1000,IF('DATA INPUT'!B126=2,0.0005*I122^0.5148,FALSE)))))</f>
        <v>0</v>
      </c>
      <c r="T122" s="59">
        <f t="shared" si="13"/>
        <v>0</v>
      </c>
    </row>
    <row r="123" spans="1:20" x14ac:dyDescent="0.2">
      <c r="A123" s="218">
        <f>'DATA INPUT'!C127</f>
        <v>0</v>
      </c>
      <c r="B123" s="11" t="b">
        <f>IF('DATA INPUT'!B127="T. ser",0.1656*'DATA INPUT'!D127^1.4655,IF('DATA INPUT'!B127="S. mel",135.53*'DATA INPUT'!D127^3.8701/1000,IF('DATA INPUT'!B127="V. ref",143.01*'DATA INPUT'!D127^3.3147/1000,IF('DATA INPUT'!B127=1,143.35*'DATA INPUT'!D127^3.6046/1000,IF('DATA INPUT'!B127=2,0.1656*'DATA INPUT'!D127^1.4655,FALSE)))))</f>
        <v>0</v>
      </c>
      <c r="C123" s="8" t="b">
        <f>IF('DATA INPUT'!B127="T. ser",0.3356*'DATA INPUT'!E127^0.9984,IF('DATA INPUT'!B127="S. mel",24.906*'DATA INPUT'!E127^4.7681/1000,IF('DATA INPUT'!B127="V. ref",118.45*'DATA INPUT'!E127^3.5959/1000,IF('DATA INPUT'!B127=1,55.075*'DATA INPUT'!E127^4.0991/1000,IF('DATA INPUT'!B127=2,0.3356*'DATA INPUT'!E127^0.9984,FALSE)))))</f>
        <v>0</v>
      </c>
      <c r="D123" s="18" t="b">
        <f>IF('DATA INPUT'!B127="T. ser",0.0615*('DATA INPUT'!F127*'DATA INPUT'!G127)^0.9573,IF('DATA INPUT'!B127="S. mel",46.162*('DATA INPUT'!F127*'DATA INPUT'!G127)^2.3652/1000,IF('DATA INPUT'!B127="V. ref",90.34*('DATA INPUT'!F127*'DATA INPUT'!G127)^1.9756/1000,IF('DATA INPUT'!B127=1,63.022*('DATA INPUT'!F127*'DATA INPUT'!G127)^2.1551/1000,IF('DATA INPUT'!B127=2,0.0615*('DATA INPUT'!F127*'DATA INPUT'!G127)^0.9573,FALSE)))))</f>
        <v>0</v>
      </c>
      <c r="E123" s="8" t="b">
        <f>IF('DATA INPUT'!B127="T. ser",5.0562*('DATA INPUT'!H127*'DATA INPUT'!I127)^0.9574,IF('DATA INPUT'!B127="S. mel",44047*('DATA INPUT'!H127*'DATA INPUT'!I127)^1.5456/1000,IF('DATA INPUT'!B127="V. ref",91930*('DATA INPUT'!H127*'DATA INPUT'!I127)^1.7774/1000,IF('DATA INPUT'!B127=1,62601*('DATA INPUT'!H127*'DATA INPUT'!I127)^1.6463/1000,IF('DATA INPUT'!B127=2,5.0562*('DATA INPUT'!H127*'DATA INPUT'!I127)^0.9574,FALSE)))))</f>
        <v>0</v>
      </c>
      <c r="F123" s="18" t="b">
        <f>IF('DATA INPUT'!B127="T. ser",0.0009*I123^0.4477,IF('DATA INPUT'!B127="S. mel",0.0000004*I123^1.4912/1000,IF('DATA INPUT'!B127="V. ref",0.00000005*I123^1.6284/1000,IF('DATA INPUT'!B127=1,0.0000007*I123^1.4601/1000,IF('DATA INPUT'!B127=2,0.0009*I123^0.4477,FALSE)))))</f>
        <v>0</v>
      </c>
      <c r="G123" s="57">
        <f t="shared" ref="G123:G152" si="14">SUM(B123:F123)</f>
        <v>0</v>
      </c>
      <c r="H123" s="57"/>
      <c r="I123" s="2" t="b">
        <f>IF('DATA INPUT'!B127="T. ser",3.142*'DATA INPUT'!N127^2*'DATA INPUT'!O127/3+3.142*'DATA INPUT'!P127^2/3*(3*'DATA INPUT'!N127-'DATA INPUT'!P127),IF('DATA INPUT'!B127="S. mel",3.142*'DATA INPUT'!N127^2*'DATA INPUT'!O127/3+3.142*'DATA INPUT'!P127^2/3*(3*'DATA INPUT'!N127-'DATA INPUT'!P127),IF('DATA INPUT'!B127="V. ref",3.142*'DATA INPUT'!N127^2*'DATA INPUT'!O127/3+3.142*'DATA INPUT'!P127^2/3*(3*'DATA INPUT'!N127-'DATA INPUT'!P127),IF('DATA INPUT'!B127=1,3.142*'DATA INPUT'!N127^2*'DATA INPUT'!O127/3+3.142*'DATA INPUT'!P127^2/3*(3*'DATA INPUT'!N127-'DATA INPUT'!P127),IF('DATA INPUT'!B127=2,3.142*'DATA INPUT'!N127^2*'DATA INPUT'!O127/3+3.142*'DATA INPUT'!P127^2/3*(3*'DATA INPUT'!N127-'DATA INPUT'!P127),FALSE)))))</f>
        <v>0</v>
      </c>
      <c r="J123" s="2" t="b">
        <f>IF('DATA INPUT'!B127="T. ser",0.0458*CALCULATIONS!I123^0.6841,IF('DATA INPUT'!B127="S. mel",0.6047*CALCULATIONS!I123^0.6433,IF('DATA INPUT'!B127="V. ref",0.77086*CALCULATIONS!I123^0.4936,IF('DATA INPUT'!B127=1,0.68778*CALCULATIONS!I123^0.56845,IF('DATA INPUT'!B127=2,0.0458*CALCULATIONS!I123^0.6841,FALSE)))))</f>
        <v>0</v>
      </c>
      <c r="K123" s="3">
        <f t="shared" ref="K123:K152" si="15">J123/500</f>
        <v>0</v>
      </c>
      <c r="L123" s="3" t="b">
        <f>IF('DATA INPUT'!B127="T. ser",('DATA INPUT'!D127+'DATA INPUT'!F127+'DATA INPUT'!H127+'DATA INPUT'!J127)/1.5,IF('DATA INPUT'!B127="V. ref",('DATA INPUT'!D127+'DATA INPUT'!F127+'DATA INPUT'!H127+'DATA INPUT'!J127)/1.5,IF('DATA INPUT'!B127="S. mel",('DATA INPUT'!D127+'DATA INPUT'!F127+'DATA INPUT'!H127+'DATA INPUT'!J127)/1.5,IF('DATA INPUT'!B127=1,('DATA INPUT'!D127+'DATA INPUT'!F127+'DATA INPUT'!H127+'DATA INPUT'!J127)/1.5,IF('DATA INPUT'!B127=2,('DATA INPUT'!D127+'DATA INPUT'!F127+'DATA INPUT'!H127+'DATA INPUT'!J127)/1.5,FALSE)))))</f>
        <v>0</v>
      </c>
      <c r="N123" s="16">
        <f>'DATA INPUT'!C127</f>
        <v>0</v>
      </c>
      <c r="O123" s="3" t="b">
        <f>IF('DATA INPUT'!B127="T. ser",0.3446*'DATA INPUT'!D127^1.0619,IF('DATA INPUT'!B127="S. mel",(1270.6*'DATA INPUT'!D127^2.0933)/1000,IF('DATA INPUT'!B127="V. ref",(816.25*'DATA INPUT'!D127^2.1754)/1000,IF('DATA INPUT'!B127=1,(1492.4*'DATA INPUT'!D127^1.7591)/1000,IF('DATA INPUT'!B127=2,0.3446*'DATA INPUT'!D127^1.0619,FALSE)))))</f>
        <v>0</v>
      </c>
      <c r="P123" s="3" t="b">
        <f>IF('DATA INPUT'!B127="T. ser",0.3662*'DATA INPUT'!E127^1.5061,IF('DATA INPUT'!B127="S. mel",(748.47*'DATA INPUT'!E127^2.2691)/1000,IF('DATA INPUT'!B127="V. ref",(953.69*'DATA INPUT'!E127^1.9524)/1000,IF('DATA INPUT'!B127=1,(695.02*'DATA INPUT'!E127^2.3452)/1000,IF('DATA INPUT'!B127=2,0.3662*'DATA INPUT'!E127^1.5061,FALSE)))))</f>
        <v>0</v>
      </c>
      <c r="Q123" s="3" t="b">
        <f>IF('DATA INPUT'!B127="T. ser",0.1225*('DATA INPUT'!F127*'DATA INPUT'!G127)^0.8272,IF('DATA INPUT'!B127="S. mel",(925.08*('DATA INPUT'!F127*'DATA INPUT'!G127)^1.1603)/1000,IF('DATA INPUT'!B127="V. ref",(776.29*('DATA INPUT'!F127*'DATA INPUT'!G127)^1.1226)/1000,IF('DATA INPUT'!B127=1,(884.6*('DATA INPUT'!F127*'DATA INPUT'!G127)^1.129)/1000,IF('DATA INPUT'!B127=2,0.1225*('DATA INPUT'!F127*'DATA INPUT'!G127)^0.8272,FALSE)))))</f>
        <v>0</v>
      </c>
      <c r="R123" s="3" t="b">
        <f>IF('DATA INPUT'!B127="T. ser",5.5287*('DATA INPUT'!H127*'DATA INPUT'!I127)^0.8272,IF('DATA INPUT'!B127="S. mel",(31469*('DATA INPUT'!H127*'DATA INPUT'!I127)^0.8608)/1000,IF('DATA INPUT'!B127="V. ref",(39394*('DATA INPUT'!H127*'DATA INPUT'!I127)^1.005)/1000,IF('DATA INPUT'!B127=1,(31791*('DATA INPUT'!H127*'DATA INPUT'!I127)^0.8467)/1000,IF('DATA INPUT'!B127=2,5.5287*('DATA INPUT'!H127*'DATA INPUT'!I127)^0.8272,FALSE)))))</f>
        <v>0</v>
      </c>
      <c r="S123" s="3" t="b">
        <f>IF('DATA INPUT'!B127="T. ser",0.0005*I123^0.5148,IF('DATA INPUT'!B127="S. mel",0.051*I123^0.7789/1000,IF('DATA INPUT'!B127="V. ref",0.0958*I123^0.7253/1000,IF('DATA INPUT'!B127=1,0.0426*I123^0.786/1000,IF('DATA INPUT'!B127=2,0.0005*I123^0.5148,FALSE)))))</f>
        <v>0</v>
      </c>
      <c r="T123" s="59">
        <f t="shared" ref="T123:T152" si="16">SUM(O123:S123)</f>
        <v>0</v>
      </c>
    </row>
    <row r="124" spans="1:20" x14ac:dyDescent="0.2">
      <c r="A124" s="218">
        <f>'DATA INPUT'!C128</f>
        <v>0</v>
      </c>
      <c r="B124" s="11" t="b">
        <f>IF('DATA INPUT'!B128="T. ser",0.1656*'DATA INPUT'!D128^1.4655,IF('DATA INPUT'!B128="S. mel",135.53*'DATA INPUT'!D128^3.8701/1000,IF('DATA INPUT'!B128="V. ref",143.01*'DATA INPUT'!D128^3.3147/1000,IF('DATA INPUT'!B128=1,143.35*'DATA INPUT'!D128^3.6046/1000,IF('DATA INPUT'!B128=2,0.1656*'DATA INPUT'!D128^1.4655,FALSE)))))</f>
        <v>0</v>
      </c>
      <c r="C124" s="8" t="b">
        <f>IF('DATA INPUT'!B128="T. ser",0.3356*'DATA INPUT'!E128^0.9984,IF('DATA INPUT'!B128="S. mel",24.906*'DATA INPUT'!E128^4.7681/1000,IF('DATA INPUT'!B128="V. ref",118.45*'DATA INPUT'!E128^3.5959/1000,IF('DATA INPUT'!B128=1,55.075*'DATA INPUT'!E128^4.0991/1000,IF('DATA INPUT'!B128=2,0.3356*'DATA INPUT'!E128^0.9984,FALSE)))))</f>
        <v>0</v>
      </c>
      <c r="D124" s="18" t="b">
        <f>IF('DATA INPUT'!B128="T. ser",0.0615*('DATA INPUT'!F128*'DATA INPUT'!G128)^0.9573,IF('DATA INPUT'!B128="S. mel",46.162*('DATA INPUT'!F128*'DATA INPUT'!G128)^2.3652/1000,IF('DATA INPUT'!B128="V. ref",90.34*('DATA INPUT'!F128*'DATA INPUT'!G128)^1.9756/1000,IF('DATA INPUT'!B128=1,63.022*('DATA INPUT'!F128*'DATA INPUT'!G128)^2.1551/1000,IF('DATA INPUT'!B128=2,0.0615*('DATA INPUT'!F128*'DATA INPUT'!G128)^0.9573,FALSE)))))</f>
        <v>0</v>
      </c>
      <c r="E124" s="8" t="b">
        <f>IF('DATA INPUT'!B128="T. ser",5.0562*('DATA INPUT'!H128*'DATA INPUT'!I128)^0.9574,IF('DATA INPUT'!B128="S. mel",44047*('DATA INPUT'!H128*'DATA INPUT'!I128)^1.5456/1000,IF('DATA INPUT'!B128="V. ref",91930*('DATA INPUT'!H128*'DATA INPUT'!I128)^1.7774/1000,IF('DATA INPUT'!B128=1,62601*('DATA INPUT'!H128*'DATA INPUT'!I128)^1.6463/1000,IF('DATA INPUT'!B128=2,5.0562*('DATA INPUT'!H128*'DATA INPUT'!I128)^0.9574,FALSE)))))</f>
        <v>0</v>
      </c>
      <c r="F124" s="18" t="b">
        <f>IF('DATA INPUT'!B128="T. ser",0.0009*I124^0.4477,IF('DATA INPUT'!B128="S. mel",0.0000004*I124^1.4912/1000,IF('DATA INPUT'!B128="V. ref",0.00000005*I124^1.6284/1000,IF('DATA INPUT'!B128=1,0.0000007*I124^1.4601/1000,IF('DATA INPUT'!B128=2,0.0009*I124^0.4477,FALSE)))))</f>
        <v>0</v>
      </c>
      <c r="G124" s="57">
        <f t="shared" si="14"/>
        <v>0</v>
      </c>
      <c r="H124" s="57"/>
      <c r="I124" s="2" t="b">
        <f>IF('DATA INPUT'!B128="T. ser",3.142*'DATA INPUT'!N128^2*'DATA INPUT'!O128/3+3.142*'DATA INPUT'!P128^2/3*(3*'DATA INPUT'!N128-'DATA INPUT'!P128),IF('DATA INPUT'!B128="S. mel",3.142*'DATA INPUT'!N128^2*'DATA INPUT'!O128/3+3.142*'DATA INPUT'!P128^2/3*(3*'DATA INPUT'!N128-'DATA INPUT'!P128),IF('DATA INPUT'!B128="V. ref",3.142*'DATA INPUT'!N128^2*'DATA INPUT'!O128/3+3.142*'DATA INPUT'!P128^2/3*(3*'DATA INPUT'!N128-'DATA INPUT'!P128),IF('DATA INPUT'!B128=1,3.142*'DATA INPUT'!N128^2*'DATA INPUT'!O128/3+3.142*'DATA INPUT'!P128^2/3*(3*'DATA INPUT'!N128-'DATA INPUT'!P128),IF('DATA INPUT'!B128=2,3.142*'DATA INPUT'!N128^2*'DATA INPUT'!O128/3+3.142*'DATA INPUT'!P128^2/3*(3*'DATA INPUT'!N128-'DATA INPUT'!P128),FALSE)))))</f>
        <v>0</v>
      </c>
      <c r="J124" s="2" t="b">
        <f>IF('DATA INPUT'!B128="T. ser",0.0458*CALCULATIONS!I124^0.6841,IF('DATA INPUT'!B128="S. mel",0.6047*CALCULATIONS!I124^0.6433,IF('DATA INPUT'!B128="V. ref",0.77086*CALCULATIONS!I124^0.4936,IF('DATA INPUT'!B128=1,0.68778*CALCULATIONS!I124^0.56845,IF('DATA INPUT'!B128=2,0.0458*CALCULATIONS!I124^0.6841,FALSE)))))</f>
        <v>0</v>
      </c>
      <c r="K124" s="3">
        <f t="shared" si="15"/>
        <v>0</v>
      </c>
      <c r="L124" s="3" t="b">
        <f>IF('DATA INPUT'!B128="T. ser",('DATA INPUT'!D128+'DATA INPUT'!F128+'DATA INPUT'!H128+'DATA INPUT'!J128)/1.5,IF('DATA INPUT'!B128="V. ref",('DATA INPUT'!D128+'DATA INPUT'!F128+'DATA INPUT'!H128+'DATA INPUT'!J128)/1.5,IF('DATA INPUT'!B128="S. mel",('DATA INPUT'!D128+'DATA INPUT'!F128+'DATA INPUT'!H128+'DATA INPUT'!J128)/1.5,IF('DATA INPUT'!B128=1,('DATA INPUT'!D128+'DATA INPUT'!F128+'DATA INPUT'!H128+'DATA INPUT'!J128)/1.5,IF('DATA INPUT'!B128=2,('DATA INPUT'!D128+'DATA INPUT'!F128+'DATA INPUT'!H128+'DATA INPUT'!J128)/1.5,FALSE)))))</f>
        <v>0</v>
      </c>
      <c r="N124" s="16">
        <f>'DATA INPUT'!C128</f>
        <v>0</v>
      </c>
      <c r="O124" s="3" t="b">
        <f>IF('DATA INPUT'!B128="T. ser",0.3446*'DATA INPUT'!D128^1.0619,IF('DATA INPUT'!B128="S. mel",(1270.6*'DATA INPUT'!D128^2.0933)/1000,IF('DATA INPUT'!B128="V. ref",(816.25*'DATA INPUT'!D128^2.1754)/1000,IF('DATA INPUT'!B128=1,(1492.4*'DATA INPUT'!D128^1.7591)/1000,IF('DATA INPUT'!B128=2,0.3446*'DATA INPUT'!D128^1.0619,FALSE)))))</f>
        <v>0</v>
      </c>
      <c r="P124" s="3" t="b">
        <f>IF('DATA INPUT'!B128="T. ser",0.3662*'DATA INPUT'!E128^1.5061,IF('DATA INPUT'!B128="S. mel",(748.47*'DATA INPUT'!E128^2.2691)/1000,IF('DATA INPUT'!B128="V. ref",(953.69*'DATA INPUT'!E128^1.9524)/1000,IF('DATA INPUT'!B128=1,(695.02*'DATA INPUT'!E128^2.3452)/1000,IF('DATA INPUT'!B128=2,0.3662*'DATA INPUT'!E128^1.5061,FALSE)))))</f>
        <v>0</v>
      </c>
      <c r="Q124" s="3" t="b">
        <f>IF('DATA INPUT'!B128="T. ser",0.1225*('DATA INPUT'!F128*'DATA INPUT'!G128)^0.8272,IF('DATA INPUT'!B128="S. mel",(925.08*('DATA INPUT'!F128*'DATA INPUT'!G128)^1.1603)/1000,IF('DATA INPUT'!B128="V. ref",(776.29*('DATA INPUT'!F128*'DATA INPUT'!G128)^1.1226)/1000,IF('DATA INPUT'!B128=1,(884.6*('DATA INPUT'!F128*'DATA INPUT'!G128)^1.129)/1000,IF('DATA INPUT'!B128=2,0.1225*('DATA INPUT'!F128*'DATA INPUT'!G128)^0.8272,FALSE)))))</f>
        <v>0</v>
      </c>
      <c r="R124" s="3" t="b">
        <f>IF('DATA INPUT'!B128="T. ser",5.5287*('DATA INPUT'!H128*'DATA INPUT'!I128)^0.8272,IF('DATA INPUT'!B128="S. mel",(31469*('DATA INPUT'!H128*'DATA INPUT'!I128)^0.8608)/1000,IF('DATA INPUT'!B128="V. ref",(39394*('DATA INPUT'!H128*'DATA INPUT'!I128)^1.005)/1000,IF('DATA INPUT'!B128=1,(31791*('DATA INPUT'!H128*'DATA INPUT'!I128)^0.8467)/1000,IF('DATA INPUT'!B128=2,5.5287*('DATA INPUT'!H128*'DATA INPUT'!I128)^0.8272,FALSE)))))</f>
        <v>0</v>
      </c>
      <c r="S124" s="3" t="b">
        <f>IF('DATA INPUT'!B128="T. ser",0.0005*I124^0.5148,IF('DATA INPUT'!B128="S. mel",0.051*I124^0.7789/1000,IF('DATA INPUT'!B128="V. ref",0.0958*I124^0.7253/1000,IF('DATA INPUT'!B128=1,0.0426*I124^0.786/1000,IF('DATA INPUT'!B128=2,0.0005*I124^0.5148,FALSE)))))</f>
        <v>0</v>
      </c>
      <c r="T124" s="59">
        <f t="shared" si="16"/>
        <v>0</v>
      </c>
    </row>
    <row r="125" spans="1:20" x14ac:dyDescent="0.2">
      <c r="A125" s="218">
        <f>'DATA INPUT'!C129</f>
        <v>0</v>
      </c>
      <c r="B125" s="11" t="b">
        <f>IF('DATA INPUT'!B129="T. ser",0.1656*'DATA INPUT'!D129^1.4655,IF('DATA INPUT'!B129="S. mel",135.53*'DATA INPUT'!D129^3.8701/1000,IF('DATA INPUT'!B129="V. ref",143.01*'DATA INPUT'!D129^3.3147/1000,IF('DATA INPUT'!B129=1,143.35*'DATA INPUT'!D129^3.6046/1000,IF('DATA INPUT'!B129=2,0.1656*'DATA INPUT'!D129^1.4655,FALSE)))))</f>
        <v>0</v>
      </c>
      <c r="C125" s="8" t="b">
        <f>IF('DATA INPUT'!B129="T. ser",0.3356*'DATA INPUT'!E129^0.9984,IF('DATA INPUT'!B129="S. mel",24.906*'DATA INPUT'!E129^4.7681/1000,IF('DATA INPUT'!B129="V. ref",118.45*'DATA INPUT'!E129^3.5959/1000,IF('DATA INPUT'!B129=1,55.075*'DATA INPUT'!E129^4.0991/1000,IF('DATA INPUT'!B129=2,0.3356*'DATA INPUT'!E129^0.9984,FALSE)))))</f>
        <v>0</v>
      </c>
      <c r="D125" s="18" t="b">
        <f>IF('DATA INPUT'!B129="T. ser",0.0615*('DATA INPUT'!F129*'DATA INPUT'!G129)^0.9573,IF('DATA INPUT'!B129="S. mel",46.162*('DATA INPUT'!F129*'DATA INPUT'!G129)^2.3652/1000,IF('DATA INPUT'!B129="V. ref",90.34*('DATA INPUT'!F129*'DATA INPUT'!G129)^1.9756/1000,IF('DATA INPUT'!B129=1,63.022*('DATA INPUT'!F129*'DATA INPUT'!G129)^2.1551/1000,IF('DATA INPUT'!B129=2,0.0615*('DATA INPUT'!F129*'DATA INPUT'!G129)^0.9573,FALSE)))))</f>
        <v>0</v>
      </c>
      <c r="E125" s="8" t="b">
        <f>IF('DATA INPUT'!B129="T. ser",5.0562*('DATA INPUT'!H129*'DATA INPUT'!I129)^0.9574,IF('DATA INPUT'!B129="S. mel",44047*('DATA INPUT'!H129*'DATA INPUT'!I129)^1.5456/1000,IF('DATA INPUT'!B129="V. ref",91930*('DATA INPUT'!H129*'DATA INPUT'!I129)^1.7774/1000,IF('DATA INPUT'!B129=1,62601*('DATA INPUT'!H129*'DATA INPUT'!I129)^1.6463/1000,IF('DATA INPUT'!B129=2,5.0562*('DATA INPUT'!H129*'DATA INPUT'!I129)^0.9574,FALSE)))))</f>
        <v>0</v>
      </c>
      <c r="F125" s="18" t="b">
        <f>IF('DATA INPUT'!B129="T. ser",0.0009*I125^0.4477,IF('DATA INPUT'!B129="S. mel",0.0000004*I125^1.4912/1000,IF('DATA INPUT'!B129="V. ref",0.00000005*I125^1.6284/1000,IF('DATA INPUT'!B129=1,0.0000007*I125^1.4601/1000,IF('DATA INPUT'!B129=2,0.0009*I125^0.4477,FALSE)))))</f>
        <v>0</v>
      </c>
      <c r="G125" s="57">
        <f t="shared" si="14"/>
        <v>0</v>
      </c>
      <c r="H125" s="57"/>
      <c r="I125" s="2" t="b">
        <f>IF('DATA INPUT'!B129="T. ser",3.142*'DATA INPUT'!N129^2*'DATA INPUT'!O129/3+3.142*'DATA INPUT'!P129^2/3*(3*'DATA INPUT'!N129-'DATA INPUT'!P129),IF('DATA INPUT'!B129="S. mel",3.142*'DATA INPUT'!N129^2*'DATA INPUT'!O129/3+3.142*'DATA INPUT'!P129^2/3*(3*'DATA INPUT'!N129-'DATA INPUT'!P129),IF('DATA INPUT'!B129="V. ref",3.142*'DATA INPUT'!N129^2*'DATA INPUT'!O129/3+3.142*'DATA INPUT'!P129^2/3*(3*'DATA INPUT'!N129-'DATA INPUT'!P129),IF('DATA INPUT'!B129=1,3.142*'DATA INPUT'!N129^2*'DATA INPUT'!O129/3+3.142*'DATA INPUT'!P129^2/3*(3*'DATA INPUT'!N129-'DATA INPUT'!P129),IF('DATA INPUT'!B129=2,3.142*'DATA INPUT'!N129^2*'DATA INPUT'!O129/3+3.142*'DATA INPUT'!P129^2/3*(3*'DATA INPUT'!N129-'DATA INPUT'!P129),FALSE)))))</f>
        <v>0</v>
      </c>
      <c r="J125" s="2" t="b">
        <f>IF('DATA INPUT'!B129="T. ser",0.0458*CALCULATIONS!I125^0.6841,IF('DATA INPUT'!B129="S. mel",0.6047*CALCULATIONS!I125^0.6433,IF('DATA INPUT'!B129="V. ref",0.77086*CALCULATIONS!I125^0.4936,IF('DATA INPUT'!B129=1,0.68778*CALCULATIONS!I125^0.56845,IF('DATA INPUT'!B129=2,0.0458*CALCULATIONS!I125^0.6841,FALSE)))))</f>
        <v>0</v>
      </c>
      <c r="K125" s="3">
        <f t="shared" si="15"/>
        <v>0</v>
      </c>
      <c r="L125" s="3" t="b">
        <f>IF('DATA INPUT'!B129="T. ser",('DATA INPUT'!D129+'DATA INPUT'!F129+'DATA INPUT'!H129+'DATA INPUT'!J129)/1.5,IF('DATA INPUT'!B129="V. ref",('DATA INPUT'!D129+'DATA INPUT'!F129+'DATA INPUT'!H129+'DATA INPUT'!J129)/1.5,IF('DATA INPUT'!B129="S. mel",('DATA INPUT'!D129+'DATA INPUT'!F129+'DATA INPUT'!H129+'DATA INPUT'!J129)/1.5,IF('DATA INPUT'!B129=1,('DATA INPUT'!D129+'DATA INPUT'!F129+'DATA INPUT'!H129+'DATA INPUT'!J129)/1.5,IF('DATA INPUT'!B129=2,('DATA INPUT'!D129+'DATA INPUT'!F129+'DATA INPUT'!H129+'DATA INPUT'!J129)/1.5,FALSE)))))</f>
        <v>0</v>
      </c>
      <c r="N125" s="16">
        <f>'DATA INPUT'!C129</f>
        <v>0</v>
      </c>
      <c r="O125" s="3" t="b">
        <f>IF('DATA INPUT'!B129="T. ser",0.3446*'DATA INPUT'!D129^1.0619,IF('DATA INPUT'!B129="S. mel",(1270.6*'DATA INPUT'!D129^2.0933)/1000,IF('DATA INPUT'!B129="V. ref",(816.25*'DATA INPUT'!D129^2.1754)/1000,IF('DATA INPUT'!B129=1,(1492.4*'DATA INPUT'!D129^1.7591)/1000,IF('DATA INPUT'!B129=2,0.3446*'DATA INPUT'!D129^1.0619,FALSE)))))</f>
        <v>0</v>
      </c>
      <c r="P125" s="3" t="b">
        <f>IF('DATA INPUT'!B129="T. ser",0.3662*'DATA INPUT'!E129^1.5061,IF('DATA INPUT'!B129="S. mel",(748.47*'DATA INPUT'!E129^2.2691)/1000,IF('DATA INPUT'!B129="V. ref",(953.69*'DATA INPUT'!E129^1.9524)/1000,IF('DATA INPUT'!B129=1,(695.02*'DATA INPUT'!E129^2.3452)/1000,IF('DATA INPUT'!B129=2,0.3662*'DATA INPUT'!E129^1.5061,FALSE)))))</f>
        <v>0</v>
      </c>
      <c r="Q125" s="3" t="b">
        <f>IF('DATA INPUT'!B129="T. ser",0.1225*('DATA INPUT'!F129*'DATA INPUT'!G129)^0.8272,IF('DATA INPUT'!B129="S. mel",(925.08*('DATA INPUT'!F129*'DATA INPUT'!G129)^1.1603)/1000,IF('DATA INPUT'!B129="V. ref",(776.29*('DATA INPUT'!F129*'DATA INPUT'!G129)^1.1226)/1000,IF('DATA INPUT'!B129=1,(884.6*('DATA INPUT'!F129*'DATA INPUT'!G129)^1.129)/1000,IF('DATA INPUT'!B129=2,0.1225*('DATA INPUT'!F129*'DATA INPUT'!G129)^0.8272,FALSE)))))</f>
        <v>0</v>
      </c>
      <c r="R125" s="3" t="b">
        <f>IF('DATA INPUT'!B129="T. ser",5.5287*('DATA INPUT'!H129*'DATA INPUT'!I129)^0.8272,IF('DATA INPUT'!B129="S. mel",(31469*('DATA INPUT'!H129*'DATA INPUT'!I129)^0.8608)/1000,IF('DATA INPUT'!B129="V. ref",(39394*('DATA INPUT'!H129*'DATA INPUT'!I129)^1.005)/1000,IF('DATA INPUT'!B129=1,(31791*('DATA INPUT'!H129*'DATA INPUT'!I129)^0.8467)/1000,IF('DATA INPUT'!B129=2,5.5287*('DATA INPUT'!H129*'DATA INPUT'!I129)^0.8272,FALSE)))))</f>
        <v>0</v>
      </c>
      <c r="S125" s="3" t="b">
        <f>IF('DATA INPUT'!B129="T. ser",0.0005*I125^0.5148,IF('DATA INPUT'!B129="S. mel",0.051*I125^0.7789/1000,IF('DATA INPUT'!B129="V. ref",0.0958*I125^0.7253/1000,IF('DATA INPUT'!B129=1,0.0426*I125^0.786/1000,IF('DATA INPUT'!B129=2,0.0005*I125^0.5148,FALSE)))))</f>
        <v>0</v>
      </c>
      <c r="T125" s="59">
        <f t="shared" si="16"/>
        <v>0</v>
      </c>
    </row>
    <row r="126" spans="1:20" x14ac:dyDescent="0.2">
      <c r="A126" s="218">
        <f>'DATA INPUT'!C130</f>
        <v>0</v>
      </c>
      <c r="B126" s="11" t="b">
        <f>IF('DATA INPUT'!B130="T. ser",0.1656*'DATA INPUT'!D130^1.4655,IF('DATA INPUT'!B130="S. mel",135.53*'DATA INPUT'!D130^3.8701/1000,IF('DATA INPUT'!B130="V. ref",143.01*'DATA INPUT'!D130^3.3147/1000,IF('DATA INPUT'!B130=1,143.35*'DATA INPUT'!D130^3.6046/1000,IF('DATA INPUT'!B130=2,0.1656*'DATA INPUT'!D130^1.4655,FALSE)))))</f>
        <v>0</v>
      </c>
      <c r="C126" s="8" t="b">
        <f>IF('DATA INPUT'!B130="T. ser",0.3356*'DATA INPUT'!E130^0.9984,IF('DATA INPUT'!B130="S. mel",24.906*'DATA INPUT'!E130^4.7681/1000,IF('DATA INPUT'!B130="V. ref",118.45*'DATA INPUT'!E130^3.5959/1000,IF('DATA INPUT'!B130=1,55.075*'DATA INPUT'!E130^4.0991/1000,IF('DATA INPUT'!B130=2,0.3356*'DATA INPUT'!E130^0.9984,FALSE)))))</f>
        <v>0</v>
      </c>
      <c r="D126" s="18" t="b">
        <f>IF('DATA INPUT'!B130="T. ser",0.0615*('DATA INPUT'!F130*'DATA INPUT'!G130)^0.9573,IF('DATA INPUT'!B130="S. mel",46.162*('DATA INPUT'!F130*'DATA INPUT'!G130)^2.3652/1000,IF('DATA INPUT'!B130="V. ref",90.34*('DATA INPUT'!F130*'DATA INPUT'!G130)^1.9756/1000,IF('DATA INPUT'!B130=1,63.022*('DATA INPUT'!F130*'DATA INPUT'!G130)^2.1551/1000,IF('DATA INPUT'!B130=2,0.0615*('DATA INPUT'!F130*'DATA INPUT'!G130)^0.9573,FALSE)))))</f>
        <v>0</v>
      </c>
      <c r="E126" s="8" t="b">
        <f>IF('DATA INPUT'!B130="T. ser",5.0562*('DATA INPUT'!H130*'DATA INPUT'!I130)^0.9574,IF('DATA INPUT'!B130="S. mel",44047*('DATA INPUT'!H130*'DATA INPUT'!I130)^1.5456/1000,IF('DATA INPUT'!B130="V. ref",91930*('DATA INPUT'!H130*'DATA INPUT'!I130)^1.7774/1000,IF('DATA INPUT'!B130=1,62601*('DATA INPUT'!H130*'DATA INPUT'!I130)^1.6463/1000,IF('DATA INPUT'!B130=2,5.0562*('DATA INPUT'!H130*'DATA INPUT'!I130)^0.9574,FALSE)))))</f>
        <v>0</v>
      </c>
      <c r="F126" s="18" t="b">
        <f>IF('DATA INPUT'!B130="T. ser",0.0009*I126^0.4477,IF('DATA INPUT'!B130="S. mel",0.0000004*I126^1.4912/1000,IF('DATA INPUT'!B130="V. ref",0.00000005*I126^1.6284/1000,IF('DATA INPUT'!B130=1,0.0000007*I126^1.4601/1000,IF('DATA INPUT'!B130=2,0.0009*I126^0.4477,FALSE)))))</f>
        <v>0</v>
      </c>
      <c r="G126" s="57">
        <f t="shared" si="14"/>
        <v>0</v>
      </c>
      <c r="H126" s="57"/>
      <c r="I126" s="2" t="b">
        <f>IF('DATA INPUT'!B130="T. ser",3.142*'DATA INPUT'!N130^2*'DATA INPUT'!O130/3+3.142*'DATA INPUT'!P130^2/3*(3*'DATA INPUT'!N130-'DATA INPUT'!P130),IF('DATA INPUT'!B130="S. mel",3.142*'DATA INPUT'!N130^2*'DATA INPUT'!O130/3+3.142*'DATA INPUT'!P130^2/3*(3*'DATA INPUT'!N130-'DATA INPUT'!P130),IF('DATA INPUT'!B130="V. ref",3.142*'DATA INPUT'!N130^2*'DATA INPUT'!O130/3+3.142*'DATA INPUT'!P130^2/3*(3*'DATA INPUT'!N130-'DATA INPUT'!P130),IF('DATA INPUT'!B130=1,3.142*'DATA INPUT'!N130^2*'DATA INPUT'!O130/3+3.142*'DATA INPUT'!P130^2/3*(3*'DATA INPUT'!N130-'DATA INPUT'!P130),IF('DATA INPUT'!B130=2,3.142*'DATA INPUT'!N130^2*'DATA INPUT'!O130/3+3.142*'DATA INPUT'!P130^2/3*(3*'DATA INPUT'!N130-'DATA INPUT'!P130),FALSE)))))</f>
        <v>0</v>
      </c>
      <c r="J126" s="2" t="b">
        <f>IF('DATA INPUT'!B130="T. ser",0.0458*CALCULATIONS!I126^0.6841,IF('DATA INPUT'!B130="S. mel",0.6047*CALCULATIONS!I126^0.6433,IF('DATA INPUT'!B130="V. ref",0.77086*CALCULATIONS!I126^0.4936,IF('DATA INPUT'!B130=1,0.68778*CALCULATIONS!I126^0.56845,IF('DATA INPUT'!B130=2,0.0458*CALCULATIONS!I126^0.6841,FALSE)))))</f>
        <v>0</v>
      </c>
      <c r="K126" s="3">
        <f t="shared" si="15"/>
        <v>0</v>
      </c>
      <c r="L126" s="3" t="b">
        <f>IF('DATA INPUT'!B130="T. ser",('DATA INPUT'!D130+'DATA INPUT'!F130+'DATA INPUT'!H130+'DATA INPUT'!J130)/1.5,IF('DATA INPUT'!B130="V. ref",('DATA INPUT'!D130+'DATA INPUT'!F130+'DATA INPUT'!H130+'DATA INPUT'!J130)/1.5,IF('DATA INPUT'!B130="S. mel",('DATA INPUT'!D130+'DATA INPUT'!F130+'DATA INPUT'!H130+'DATA INPUT'!J130)/1.5,IF('DATA INPUT'!B130=1,('DATA INPUT'!D130+'DATA INPUT'!F130+'DATA INPUT'!H130+'DATA INPUT'!J130)/1.5,IF('DATA INPUT'!B130=2,('DATA INPUT'!D130+'DATA INPUT'!F130+'DATA INPUT'!H130+'DATA INPUT'!J130)/1.5,FALSE)))))</f>
        <v>0</v>
      </c>
      <c r="N126" s="16">
        <f>'DATA INPUT'!C130</f>
        <v>0</v>
      </c>
      <c r="O126" s="3" t="b">
        <f>IF('DATA INPUT'!B130="T. ser",0.3446*'DATA INPUT'!D130^1.0619,IF('DATA INPUT'!B130="S. mel",(1270.6*'DATA INPUT'!D130^2.0933)/1000,IF('DATA INPUT'!B130="V. ref",(816.25*'DATA INPUT'!D130^2.1754)/1000,IF('DATA INPUT'!B130=1,(1492.4*'DATA INPUT'!D130^1.7591)/1000,IF('DATA INPUT'!B130=2,0.3446*'DATA INPUT'!D130^1.0619,FALSE)))))</f>
        <v>0</v>
      </c>
      <c r="P126" s="3" t="b">
        <f>IF('DATA INPUT'!B130="T. ser",0.3662*'DATA INPUT'!E130^1.5061,IF('DATA INPUT'!B130="S. mel",(748.47*'DATA INPUT'!E130^2.2691)/1000,IF('DATA INPUT'!B130="V. ref",(953.69*'DATA INPUT'!E130^1.9524)/1000,IF('DATA INPUT'!B130=1,(695.02*'DATA INPUT'!E130^2.3452)/1000,IF('DATA INPUT'!B130=2,0.3662*'DATA INPUT'!E130^1.5061,FALSE)))))</f>
        <v>0</v>
      </c>
      <c r="Q126" s="3" t="b">
        <f>IF('DATA INPUT'!B130="T. ser",0.1225*('DATA INPUT'!F130*'DATA INPUT'!G130)^0.8272,IF('DATA INPUT'!B130="S. mel",(925.08*('DATA INPUT'!F130*'DATA INPUT'!G130)^1.1603)/1000,IF('DATA INPUT'!B130="V. ref",(776.29*('DATA INPUT'!F130*'DATA INPUT'!G130)^1.1226)/1000,IF('DATA INPUT'!B130=1,(884.6*('DATA INPUT'!F130*'DATA INPUT'!G130)^1.129)/1000,IF('DATA INPUT'!B130=2,0.1225*('DATA INPUT'!F130*'DATA INPUT'!G130)^0.8272,FALSE)))))</f>
        <v>0</v>
      </c>
      <c r="R126" s="3" t="b">
        <f>IF('DATA INPUT'!B130="T. ser",5.5287*('DATA INPUT'!H130*'DATA INPUT'!I130)^0.8272,IF('DATA INPUT'!B130="S. mel",(31469*('DATA INPUT'!H130*'DATA INPUT'!I130)^0.8608)/1000,IF('DATA INPUT'!B130="V. ref",(39394*('DATA INPUT'!H130*'DATA INPUT'!I130)^1.005)/1000,IF('DATA INPUT'!B130=1,(31791*('DATA INPUT'!H130*'DATA INPUT'!I130)^0.8467)/1000,IF('DATA INPUT'!B130=2,5.5287*('DATA INPUT'!H130*'DATA INPUT'!I130)^0.8272,FALSE)))))</f>
        <v>0</v>
      </c>
      <c r="S126" s="3" t="b">
        <f>IF('DATA INPUT'!B130="T. ser",0.0005*I126^0.5148,IF('DATA INPUT'!B130="S. mel",0.051*I126^0.7789/1000,IF('DATA INPUT'!B130="V. ref",0.0958*I126^0.7253/1000,IF('DATA INPUT'!B130=1,0.0426*I126^0.786/1000,IF('DATA INPUT'!B130=2,0.0005*I126^0.5148,FALSE)))))</f>
        <v>0</v>
      </c>
      <c r="T126" s="59">
        <f t="shared" si="16"/>
        <v>0</v>
      </c>
    </row>
    <row r="127" spans="1:20" x14ac:dyDescent="0.2">
      <c r="A127" s="218">
        <f>'DATA INPUT'!C131</f>
        <v>0</v>
      </c>
      <c r="B127" s="11" t="b">
        <f>IF('DATA INPUT'!B131="T. ser",0.1656*'DATA INPUT'!D131^1.4655,IF('DATA INPUT'!B131="S. mel",135.53*'DATA INPUT'!D131^3.8701/1000,IF('DATA INPUT'!B131="V. ref",143.01*'DATA INPUT'!D131^3.3147/1000,IF('DATA INPUT'!B131=1,143.35*'DATA INPUT'!D131^3.6046/1000,IF('DATA INPUT'!B131=2,0.1656*'DATA INPUT'!D131^1.4655,FALSE)))))</f>
        <v>0</v>
      </c>
      <c r="C127" s="8" t="b">
        <f>IF('DATA INPUT'!B131="T. ser",0.3356*'DATA INPUT'!E131^0.9984,IF('DATA INPUT'!B131="S. mel",24.906*'DATA INPUT'!E131^4.7681/1000,IF('DATA INPUT'!B131="V. ref",118.45*'DATA INPUT'!E131^3.5959/1000,IF('DATA INPUT'!B131=1,55.075*'DATA INPUT'!E131^4.0991/1000,IF('DATA INPUT'!B131=2,0.3356*'DATA INPUT'!E131^0.9984,FALSE)))))</f>
        <v>0</v>
      </c>
      <c r="D127" s="18" t="b">
        <f>IF('DATA INPUT'!B131="T. ser",0.0615*('DATA INPUT'!F131*'DATA INPUT'!G131)^0.9573,IF('DATA INPUT'!B131="S. mel",46.162*('DATA INPUT'!F131*'DATA INPUT'!G131)^2.3652/1000,IF('DATA INPUT'!B131="V. ref",90.34*('DATA INPUT'!F131*'DATA INPUT'!G131)^1.9756/1000,IF('DATA INPUT'!B131=1,63.022*('DATA INPUT'!F131*'DATA INPUT'!G131)^2.1551/1000,IF('DATA INPUT'!B131=2,0.0615*('DATA INPUT'!F131*'DATA INPUT'!G131)^0.9573,FALSE)))))</f>
        <v>0</v>
      </c>
      <c r="E127" s="8" t="b">
        <f>IF('DATA INPUT'!B131="T. ser",5.0562*('DATA INPUT'!H131*'DATA INPUT'!I131)^0.9574,IF('DATA INPUT'!B131="S. mel",44047*('DATA INPUT'!H131*'DATA INPUT'!I131)^1.5456/1000,IF('DATA INPUT'!B131="V. ref",91930*('DATA INPUT'!H131*'DATA INPUT'!I131)^1.7774/1000,IF('DATA INPUT'!B131=1,62601*('DATA INPUT'!H131*'DATA INPUT'!I131)^1.6463/1000,IF('DATA INPUT'!B131=2,5.0562*('DATA INPUT'!H131*'DATA INPUT'!I131)^0.9574,FALSE)))))</f>
        <v>0</v>
      </c>
      <c r="F127" s="18" t="b">
        <f>IF('DATA INPUT'!B131="T. ser",0.0009*I127^0.4477,IF('DATA INPUT'!B131="S. mel",0.0000004*I127^1.4912/1000,IF('DATA INPUT'!B131="V. ref",0.00000005*I127^1.6284/1000,IF('DATA INPUT'!B131=1,0.0000007*I127^1.4601/1000,IF('DATA INPUT'!B131=2,0.0009*I127^0.4477,FALSE)))))</f>
        <v>0</v>
      </c>
      <c r="G127" s="57">
        <f t="shared" si="14"/>
        <v>0</v>
      </c>
      <c r="H127" s="57"/>
      <c r="I127" s="2" t="b">
        <f>IF('DATA INPUT'!B131="T. ser",3.142*'DATA INPUT'!N131^2*'DATA INPUT'!O131/3+3.142*'DATA INPUT'!P131^2/3*(3*'DATA INPUT'!N131-'DATA INPUT'!P131),IF('DATA INPUT'!B131="S. mel",3.142*'DATA INPUT'!N131^2*'DATA INPUT'!O131/3+3.142*'DATA INPUT'!P131^2/3*(3*'DATA INPUT'!N131-'DATA INPUT'!P131),IF('DATA INPUT'!B131="V. ref",3.142*'DATA INPUT'!N131^2*'DATA INPUT'!O131/3+3.142*'DATA INPUT'!P131^2/3*(3*'DATA INPUT'!N131-'DATA INPUT'!P131),IF('DATA INPUT'!B131=1,3.142*'DATA INPUT'!N131^2*'DATA INPUT'!O131/3+3.142*'DATA INPUT'!P131^2/3*(3*'DATA INPUT'!N131-'DATA INPUT'!P131),IF('DATA INPUT'!B131=2,3.142*'DATA INPUT'!N131^2*'DATA INPUT'!O131/3+3.142*'DATA INPUT'!P131^2/3*(3*'DATA INPUT'!N131-'DATA INPUT'!P131),FALSE)))))</f>
        <v>0</v>
      </c>
      <c r="J127" s="2" t="b">
        <f>IF('DATA INPUT'!B131="T. ser",0.0458*CALCULATIONS!I127^0.6841,IF('DATA INPUT'!B131="S. mel",0.6047*CALCULATIONS!I127^0.6433,IF('DATA INPUT'!B131="V. ref",0.77086*CALCULATIONS!I127^0.4936,IF('DATA INPUT'!B131=1,0.68778*CALCULATIONS!I127^0.56845,IF('DATA INPUT'!B131=2,0.0458*CALCULATIONS!I127^0.6841,FALSE)))))</f>
        <v>0</v>
      </c>
      <c r="K127" s="3">
        <f t="shared" si="15"/>
        <v>0</v>
      </c>
      <c r="L127" s="3" t="b">
        <f>IF('DATA INPUT'!B131="T. ser",('DATA INPUT'!D131+'DATA INPUT'!F131+'DATA INPUT'!H131+'DATA INPUT'!J131)/1.5,IF('DATA INPUT'!B131="V. ref",('DATA INPUT'!D131+'DATA INPUT'!F131+'DATA INPUT'!H131+'DATA INPUT'!J131)/1.5,IF('DATA INPUT'!B131="S. mel",('DATA INPUT'!D131+'DATA INPUT'!F131+'DATA INPUT'!H131+'DATA INPUT'!J131)/1.5,IF('DATA INPUT'!B131=1,('DATA INPUT'!D131+'DATA INPUT'!F131+'DATA INPUT'!H131+'DATA INPUT'!J131)/1.5,IF('DATA INPUT'!B131=2,('DATA INPUT'!D131+'DATA INPUT'!F131+'DATA INPUT'!H131+'DATA INPUT'!J131)/1.5,FALSE)))))</f>
        <v>0</v>
      </c>
      <c r="N127" s="16">
        <f>'DATA INPUT'!C131</f>
        <v>0</v>
      </c>
      <c r="O127" s="3" t="b">
        <f>IF('DATA INPUT'!B131="T. ser",0.3446*'DATA INPUT'!D131^1.0619,IF('DATA INPUT'!B131="S. mel",(1270.6*'DATA INPUT'!D131^2.0933)/1000,IF('DATA INPUT'!B131="V. ref",(816.25*'DATA INPUT'!D131^2.1754)/1000,IF('DATA INPUT'!B131=1,(1492.4*'DATA INPUT'!D131^1.7591)/1000,IF('DATA INPUT'!B131=2,0.3446*'DATA INPUT'!D131^1.0619,FALSE)))))</f>
        <v>0</v>
      </c>
      <c r="P127" s="3" t="b">
        <f>IF('DATA INPUT'!B131="T. ser",0.3662*'DATA INPUT'!E131^1.5061,IF('DATA INPUT'!B131="S. mel",(748.47*'DATA INPUT'!E131^2.2691)/1000,IF('DATA INPUT'!B131="V. ref",(953.69*'DATA INPUT'!E131^1.9524)/1000,IF('DATA INPUT'!B131=1,(695.02*'DATA INPUT'!E131^2.3452)/1000,IF('DATA INPUT'!B131=2,0.3662*'DATA INPUT'!E131^1.5061,FALSE)))))</f>
        <v>0</v>
      </c>
      <c r="Q127" s="3" t="b">
        <f>IF('DATA INPUT'!B131="T. ser",0.1225*('DATA INPUT'!F131*'DATA INPUT'!G131)^0.8272,IF('DATA INPUT'!B131="S. mel",(925.08*('DATA INPUT'!F131*'DATA INPUT'!G131)^1.1603)/1000,IF('DATA INPUT'!B131="V. ref",(776.29*('DATA INPUT'!F131*'DATA INPUT'!G131)^1.1226)/1000,IF('DATA INPUT'!B131=1,(884.6*('DATA INPUT'!F131*'DATA INPUT'!G131)^1.129)/1000,IF('DATA INPUT'!B131=2,0.1225*('DATA INPUT'!F131*'DATA INPUT'!G131)^0.8272,FALSE)))))</f>
        <v>0</v>
      </c>
      <c r="R127" s="3" t="b">
        <f>IF('DATA INPUT'!B131="T. ser",5.5287*('DATA INPUT'!H131*'DATA INPUT'!I131)^0.8272,IF('DATA INPUT'!B131="S. mel",(31469*('DATA INPUT'!H131*'DATA INPUT'!I131)^0.8608)/1000,IF('DATA INPUT'!B131="V. ref",(39394*('DATA INPUT'!H131*'DATA INPUT'!I131)^1.005)/1000,IF('DATA INPUT'!B131=1,(31791*('DATA INPUT'!H131*'DATA INPUT'!I131)^0.8467)/1000,IF('DATA INPUT'!B131=2,5.5287*('DATA INPUT'!H131*'DATA INPUT'!I131)^0.8272,FALSE)))))</f>
        <v>0</v>
      </c>
      <c r="S127" s="3" t="b">
        <f>IF('DATA INPUT'!B131="T. ser",0.0005*I127^0.5148,IF('DATA INPUT'!B131="S. mel",0.051*I127^0.7789/1000,IF('DATA INPUT'!B131="V. ref",0.0958*I127^0.7253/1000,IF('DATA INPUT'!B131=1,0.0426*I127^0.786/1000,IF('DATA INPUT'!B131=2,0.0005*I127^0.5148,FALSE)))))</f>
        <v>0</v>
      </c>
      <c r="T127" s="59">
        <f t="shared" si="16"/>
        <v>0</v>
      </c>
    </row>
    <row r="128" spans="1:20" x14ac:dyDescent="0.2">
      <c r="A128" s="218">
        <f>'DATA INPUT'!C132</f>
        <v>0</v>
      </c>
      <c r="B128" s="11" t="b">
        <f>IF('DATA INPUT'!B132="T. ser",0.1656*'DATA INPUT'!D132^1.4655,IF('DATA INPUT'!B132="S. mel",135.53*'DATA INPUT'!D132^3.8701/1000,IF('DATA INPUT'!B132="V. ref",143.01*'DATA INPUT'!D132^3.3147/1000,IF('DATA INPUT'!B132=1,143.35*'DATA INPUT'!D132^3.6046/1000,IF('DATA INPUT'!B132=2,0.1656*'DATA INPUT'!D132^1.4655,FALSE)))))</f>
        <v>0</v>
      </c>
      <c r="C128" s="8" t="b">
        <f>IF('DATA INPUT'!B132="T. ser",0.3356*'DATA INPUT'!E132^0.9984,IF('DATA INPUT'!B132="S. mel",24.906*'DATA INPUT'!E132^4.7681/1000,IF('DATA INPUT'!B132="V. ref",118.45*'DATA INPUT'!E132^3.5959/1000,IF('DATA INPUT'!B132=1,55.075*'DATA INPUT'!E132^4.0991/1000,IF('DATA INPUT'!B132=2,0.3356*'DATA INPUT'!E132^0.9984,FALSE)))))</f>
        <v>0</v>
      </c>
      <c r="D128" s="18" t="b">
        <f>IF('DATA INPUT'!B132="T. ser",0.0615*('DATA INPUT'!F132*'DATA INPUT'!G132)^0.9573,IF('DATA INPUT'!B132="S. mel",46.162*('DATA INPUT'!F132*'DATA INPUT'!G132)^2.3652/1000,IF('DATA INPUT'!B132="V. ref",90.34*('DATA INPUT'!F132*'DATA INPUT'!G132)^1.9756/1000,IF('DATA INPUT'!B132=1,63.022*('DATA INPUT'!F132*'DATA INPUT'!G132)^2.1551/1000,IF('DATA INPUT'!B132=2,0.0615*('DATA INPUT'!F132*'DATA INPUT'!G132)^0.9573,FALSE)))))</f>
        <v>0</v>
      </c>
      <c r="E128" s="8" t="b">
        <f>IF('DATA INPUT'!B132="T. ser",5.0562*('DATA INPUT'!H132*'DATA INPUT'!I132)^0.9574,IF('DATA INPUT'!B132="S. mel",44047*('DATA INPUT'!H132*'DATA INPUT'!I132)^1.5456/1000,IF('DATA INPUT'!B132="V. ref",91930*('DATA INPUT'!H132*'DATA INPUT'!I132)^1.7774/1000,IF('DATA INPUT'!B132=1,62601*('DATA INPUT'!H132*'DATA INPUT'!I132)^1.6463/1000,IF('DATA INPUT'!B132=2,5.0562*('DATA INPUT'!H132*'DATA INPUT'!I132)^0.9574,FALSE)))))</f>
        <v>0</v>
      </c>
      <c r="F128" s="18" t="b">
        <f>IF('DATA INPUT'!B132="T. ser",0.0009*I128^0.4477,IF('DATA INPUT'!B132="S. mel",0.0000004*I128^1.4912/1000,IF('DATA INPUT'!B132="V. ref",0.00000005*I128^1.6284/1000,IF('DATA INPUT'!B132=1,0.0000007*I128^1.4601/1000,IF('DATA INPUT'!B132=2,0.0009*I128^0.4477,FALSE)))))</f>
        <v>0</v>
      </c>
      <c r="G128" s="57">
        <f t="shared" si="14"/>
        <v>0</v>
      </c>
      <c r="H128" s="57"/>
      <c r="I128" s="2" t="b">
        <f>IF('DATA INPUT'!B132="T. ser",3.142*'DATA INPUT'!N132^2*'DATA INPUT'!O132/3+3.142*'DATA INPUT'!P132^2/3*(3*'DATA INPUT'!N132-'DATA INPUT'!P132),IF('DATA INPUT'!B132="S. mel",3.142*'DATA INPUT'!N132^2*'DATA INPUT'!O132/3+3.142*'DATA INPUT'!P132^2/3*(3*'DATA INPUT'!N132-'DATA INPUT'!P132),IF('DATA INPUT'!B132="V. ref",3.142*'DATA INPUT'!N132^2*'DATA INPUT'!O132/3+3.142*'DATA INPUT'!P132^2/3*(3*'DATA INPUT'!N132-'DATA INPUT'!P132),IF('DATA INPUT'!B132=1,3.142*'DATA INPUT'!N132^2*'DATA INPUT'!O132/3+3.142*'DATA INPUT'!P132^2/3*(3*'DATA INPUT'!N132-'DATA INPUT'!P132),IF('DATA INPUT'!B132=2,3.142*'DATA INPUT'!N132^2*'DATA INPUT'!O132/3+3.142*'DATA INPUT'!P132^2/3*(3*'DATA INPUT'!N132-'DATA INPUT'!P132),FALSE)))))</f>
        <v>0</v>
      </c>
      <c r="J128" s="2" t="b">
        <f>IF('DATA INPUT'!B132="T. ser",0.0458*CALCULATIONS!I128^0.6841,IF('DATA INPUT'!B132="S. mel",0.6047*CALCULATIONS!I128^0.6433,IF('DATA INPUT'!B132="V. ref",0.77086*CALCULATIONS!I128^0.4936,IF('DATA INPUT'!B132=1,0.68778*CALCULATIONS!I128^0.56845,IF('DATA INPUT'!B132=2,0.0458*CALCULATIONS!I128^0.6841,FALSE)))))</f>
        <v>0</v>
      </c>
      <c r="K128" s="3">
        <f t="shared" si="15"/>
        <v>0</v>
      </c>
      <c r="L128" s="3" t="b">
        <f>IF('DATA INPUT'!B132="T. ser",('DATA INPUT'!D132+'DATA INPUT'!F132+'DATA INPUT'!H132+'DATA INPUT'!J132)/1.5,IF('DATA INPUT'!B132="V. ref",('DATA INPUT'!D132+'DATA INPUT'!F132+'DATA INPUT'!H132+'DATA INPUT'!J132)/1.5,IF('DATA INPUT'!B132="S. mel",('DATA INPUT'!D132+'DATA INPUT'!F132+'DATA INPUT'!H132+'DATA INPUT'!J132)/1.5,IF('DATA INPUT'!B132=1,('DATA INPUT'!D132+'DATA INPUT'!F132+'DATA INPUT'!H132+'DATA INPUT'!J132)/1.5,IF('DATA INPUT'!B132=2,('DATA INPUT'!D132+'DATA INPUT'!F132+'DATA INPUT'!H132+'DATA INPUT'!J132)/1.5,FALSE)))))</f>
        <v>0</v>
      </c>
      <c r="N128" s="16">
        <f>'DATA INPUT'!C132</f>
        <v>0</v>
      </c>
      <c r="O128" s="3" t="b">
        <f>IF('DATA INPUT'!B132="T. ser",0.3446*'DATA INPUT'!D132^1.0619,IF('DATA INPUT'!B132="S. mel",(1270.6*'DATA INPUT'!D132^2.0933)/1000,IF('DATA INPUT'!B132="V. ref",(816.25*'DATA INPUT'!D132^2.1754)/1000,IF('DATA INPUT'!B132=1,(1492.4*'DATA INPUT'!D132^1.7591)/1000,IF('DATA INPUT'!B132=2,0.3446*'DATA INPUT'!D132^1.0619,FALSE)))))</f>
        <v>0</v>
      </c>
      <c r="P128" s="3" t="b">
        <f>IF('DATA INPUT'!B132="T. ser",0.3662*'DATA INPUT'!E132^1.5061,IF('DATA INPUT'!B132="S. mel",(748.47*'DATA INPUT'!E132^2.2691)/1000,IF('DATA INPUT'!B132="V. ref",(953.69*'DATA INPUT'!E132^1.9524)/1000,IF('DATA INPUT'!B132=1,(695.02*'DATA INPUT'!E132^2.3452)/1000,IF('DATA INPUT'!B132=2,0.3662*'DATA INPUT'!E132^1.5061,FALSE)))))</f>
        <v>0</v>
      </c>
      <c r="Q128" s="3" t="b">
        <f>IF('DATA INPUT'!B132="T. ser",0.1225*('DATA INPUT'!F132*'DATA INPUT'!G132)^0.8272,IF('DATA INPUT'!B132="S. mel",(925.08*('DATA INPUT'!F132*'DATA INPUT'!G132)^1.1603)/1000,IF('DATA INPUT'!B132="V. ref",(776.29*('DATA INPUT'!F132*'DATA INPUT'!G132)^1.1226)/1000,IF('DATA INPUT'!B132=1,(884.6*('DATA INPUT'!F132*'DATA INPUT'!G132)^1.129)/1000,IF('DATA INPUT'!B132=2,0.1225*('DATA INPUT'!F132*'DATA INPUT'!G132)^0.8272,FALSE)))))</f>
        <v>0</v>
      </c>
      <c r="R128" s="3" t="b">
        <f>IF('DATA INPUT'!B132="T. ser",5.5287*('DATA INPUT'!H132*'DATA INPUT'!I132)^0.8272,IF('DATA INPUT'!B132="S. mel",(31469*('DATA INPUT'!H132*'DATA INPUT'!I132)^0.8608)/1000,IF('DATA INPUT'!B132="V. ref",(39394*('DATA INPUT'!H132*'DATA INPUT'!I132)^1.005)/1000,IF('DATA INPUT'!B132=1,(31791*('DATA INPUT'!H132*'DATA INPUT'!I132)^0.8467)/1000,IF('DATA INPUT'!B132=2,5.5287*('DATA INPUT'!H132*'DATA INPUT'!I132)^0.8272,FALSE)))))</f>
        <v>0</v>
      </c>
      <c r="S128" s="3" t="b">
        <f>IF('DATA INPUT'!B132="T. ser",0.0005*I128^0.5148,IF('DATA INPUT'!B132="S. mel",0.051*I128^0.7789/1000,IF('DATA INPUT'!B132="V. ref",0.0958*I128^0.7253/1000,IF('DATA INPUT'!B132=1,0.0426*I128^0.786/1000,IF('DATA INPUT'!B132=2,0.0005*I128^0.5148,FALSE)))))</f>
        <v>0</v>
      </c>
      <c r="T128" s="59">
        <f t="shared" si="16"/>
        <v>0</v>
      </c>
    </row>
    <row r="129" spans="1:20" x14ac:dyDescent="0.2">
      <c r="A129" s="218">
        <f>'DATA INPUT'!C133</f>
        <v>0</v>
      </c>
      <c r="B129" s="11" t="b">
        <f>IF('DATA INPUT'!B133="T. ser",0.1656*'DATA INPUT'!D133^1.4655,IF('DATA INPUT'!B133="S. mel",135.53*'DATA INPUT'!D133^3.8701/1000,IF('DATA INPUT'!B133="V. ref",143.01*'DATA INPUT'!D133^3.3147/1000,IF('DATA INPUT'!B133=1,143.35*'DATA INPUT'!D133^3.6046/1000,IF('DATA INPUT'!B133=2,0.1656*'DATA INPUT'!D133^1.4655,FALSE)))))</f>
        <v>0</v>
      </c>
      <c r="C129" s="8" t="b">
        <f>IF('DATA INPUT'!B133="T. ser",0.3356*'DATA INPUT'!E133^0.9984,IF('DATA INPUT'!B133="S. mel",24.906*'DATA INPUT'!E133^4.7681/1000,IF('DATA INPUT'!B133="V. ref",118.45*'DATA INPUT'!E133^3.5959/1000,IF('DATA INPUT'!B133=1,55.075*'DATA INPUT'!E133^4.0991/1000,IF('DATA INPUT'!B133=2,0.3356*'DATA INPUT'!E133^0.9984,FALSE)))))</f>
        <v>0</v>
      </c>
      <c r="D129" s="18" t="b">
        <f>IF('DATA INPUT'!B133="T. ser",0.0615*('DATA INPUT'!F133*'DATA INPUT'!G133)^0.9573,IF('DATA INPUT'!B133="S. mel",46.162*('DATA INPUT'!F133*'DATA INPUT'!G133)^2.3652/1000,IF('DATA INPUT'!B133="V. ref",90.34*('DATA INPUT'!F133*'DATA INPUT'!G133)^1.9756/1000,IF('DATA INPUT'!B133=1,63.022*('DATA INPUT'!F133*'DATA INPUT'!G133)^2.1551/1000,IF('DATA INPUT'!B133=2,0.0615*('DATA INPUT'!F133*'DATA INPUT'!G133)^0.9573,FALSE)))))</f>
        <v>0</v>
      </c>
      <c r="E129" s="8" t="b">
        <f>IF('DATA INPUT'!B133="T. ser",5.0562*('DATA INPUT'!H133*'DATA INPUT'!I133)^0.9574,IF('DATA INPUT'!B133="S. mel",44047*('DATA INPUT'!H133*'DATA INPUT'!I133)^1.5456/1000,IF('DATA INPUT'!B133="V. ref",91930*('DATA INPUT'!H133*'DATA INPUT'!I133)^1.7774/1000,IF('DATA INPUT'!B133=1,62601*('DATA INPUT'!H133*'DATA INPUT'!I133)^1.6463/1000,IF('DATA INPUT'!B133=2,5.0562*('DATA INPUT'!H133*'DATA INPUT'!I133)^0.9574,FALSE)))))</f>
        <v>0</v>
      </c>
      <c r="F129" s="18" t="b">
        <f>IF('DATA INPUT'!B133="T. ser",0.0009*I129^0.4477,IF('DATA INPUT'!B133="S. mel",0.0000004*I129^1.4912/1000,IF('DATA INPUT'!B133="V. ref",0.00000005*I129^1.6284/1000,IF('DATA INPUT'!B133=1,0.0000007*I129^1.4601/1000,IF('DATA INPUT'!B133=2,0.0009*I129^0.4477,FALSE)))))</f>
        <v>0</v>
      </c>
      <c r="G129" s="57">
        <f t="shared" si="14"/>
        <v>0</v>
      </c>
      <c r="H129" s="57"/>
      <c r="I129" s="2" t="b">
        <f>IF('DATA INPUT'!B133="T. ser",3.142*'DATA INPUT'!N133^2*'DATA INPUT'!O133/3+3.142*'DATA INPUT'!P133^2/3*(3*'DATA INPUT'!N133-'DATA INPUT'!P133),IF('DATA INPUT'!B133="S. mel",3.142*'DATA INPUT'!N133^2*'DATA INPUT'!O133/3+3.142*'DATA INPUT'!P133^2/3*(3*'DATA INPUT'!N133-'DATA INPUT'!P133),IF('DATA INPUT'!B133="V. ref",3.142*'DATA INPUT'!N133^2*'DATA INPUT'!O133/3+3.142*'DATA INPUT'!P133^2/3*(3*'DATA INPUT'!N133-'DATA INPUT'!P133),IF('DATA INPUT'!B133=1,3.142*'DATA INPUT'!N133^2*'DATA INPUT'!O133/3+3.142*'DATA INPUT'!P133^2/3*(3*'DATA INPUT'!N133-'DATA INPUT'!P133),IF('DATA INPUT'!B133=2,3.142*'DATA INPUT'!N133^2*'DATA INPUT'!O133/3+3.142*'DATA INPUT'!P133^2/3*(3*'DATA INPUT'!N133-'DATA INPUT'!P133),FALSE)))))</f>
        <v>0</v>
      </c>
      <c r="J129" s="2" t="b">
        <f>IF('DATA INPUT'!B133="T. ser",0.0458*CALCULATIONS!I129^0.6841,IF('DATA INPUT'!B133="S. mel",0.6047*CALCULATIONS!I129^0.6433,IF('DATA INPUT'!B133="V. ref",0.77086*CALCULATIONS!I129^0.4936,IF('DATA INPUT'!B133=1,0.68778*CALCULATIONS!I129^0.56845,IF('DATA INPUT'!B133=2,0.0458*CALCULATIONS!I129^0.6841,FALSE)))))</f>
        <v>0</v>
      </c>
      <c r="K129" s="3">
        <f t="shared" si="15"/>
        <v>0</v>
      </c>
      <c r="L129" s="3" t="b">
        <f>IF('DATA INPUT'!B133="T. ser",('DATA INPUT'!D133+'DATA INPUT'!F133+'DATA INPUT'!H133+'DATA INPUT'!J133)/1.5,IF('DATA INPUT'!B133="V. ref",('DATA INPUT'!D133+'DATA INPUT'!F133+'DATA INPUT'!H133+'DATA INPUT'!J133)/1.5,IF('DATA INPUT'!B133="S. mel",('DATA INPUT'!D133+'DATA INPUT'!F133+'DATA INPUT'!H133+'DATA INPUT'!J133)/1.5,IF('DATA INPUT'!B133=1,('DATA INPUT'!D133+'DATA INPUT'!F133+'DATA INPUT'!H133+'DATA INPUT'!J133)/1.5,IF('DATA INPUT'!B133=2,('DATA INPUT'!D133+'DATA INPUT'!F133+'DATA INPUT'!H133+'DATA INPUT'!J133)/1.5,FALSE)))))</f>
        <v>0</v>
      </c>
      <c r="N129" s="16">
        <f>'DATA INPUT'!C133</f>
        <v>0</v>
      </c>
      <c r="O129" s="3" t="b">
        <f>IF('DATA INPUT'!B133="T. ser",0.3446*'DATA INPUT'!D133^1.0619,IF('DATA INPUT'!B133="S. mel",(1270.6*'DATA INPUT'!D133^2.0933)/1000,IF('DATA INPUT'!B133="V. ref",(816.25*'DATA INPUT'!D133^2.1754)/1000,IF('DATA INPUT'!B133=1,(1492.4*'DATA INPUT'!D133^1.7591)/1000,IF('DATA INPUT'!B133=2,0.3446*'DATA INPUT'!D133^1.0619,FALSE)))))</f>
        <v>0</v>
      </c>
      <c r="P129" s="3" t="b">
        <f>IF('DATA INPUT'!B133="T. ser",0.3662*'DATA INPUT'!E133^1.5061,IF('DATA INPUT'!B133="S. mel",(748.47*'DATA INPUT'!E133^2.2691)/1000,IF('DATA INPUT'!B133="V. ref",(953.69*'DATA INPUT'!E133^1.9524)/1000,IF('DATA INPUT'!B133=1,(695.02*'DATA INPUT'!E133^2.3452)/1000,IF('DATA INPUT'!B133=2,0.3662*'DATA INPUT'!E133^1.5061,FALSE)))))</f>
        <v>0</v>
      </c>
      <c r="Q129" s="3" t="b">
        <f>IF('DATA INPUT'!B133="T. ser",0.1225*('DATA INPUT'!F133*'DATA INPUT'!G133)^0.8272,IF('DATA INPUT'!B133="S. mel",(925.08*('DATA INPUT'!F133*'DATA INPUT'!G133)^1.1603)/1000,IF('DATA INPUT'!B133="V. ref",(776.29*('DATA INPUT'!F133*'DATA INPUT'!G133)^1.1226)/1000,IF('DATA INPUT'!B133=1,(884.6*('DATA INPUT'!F133*'DATA INPUT'!G133)^1.129)/1000,IF('DATA INPUT'!B133=2,0.1225*('DATA INPUT'!F133*'DATA INPUT'!G133)^0.8272,FALSE)))))</f>
        <v>0</v>
      </c>
      <c r="R129" s="3" t="b">
        <f>IF('DATA INPUT'!B133="T. ser",5.5287*('DATA INPUT'!H133*'DATA INPUT'!I133)^0.8272,IF('DATA INPUT'!B133="S. mel",(31469*('DATA INPUT'!H133*'DATA INPUT'!I133)^0.8608)/1000,IF('DATA INPUT'!B133="V. ref",(39394*('DATA INPUT'!H133*'DATA INPUT'!I133)^1.005)/1000,IF('DATA INPUT'!B133=1,(31791*('DATA INPUT'!H133*'DATA INPUT'!I133)^0.8467)/1000,IF('DATA INPUT'!B133=2,5.5287*('DATA INPUT'!H133*'DATA INPUT'!I133)^0.8272,FALSE)))))</f>
        <v>0</v>
      </c>
      <c r="S129" s="3" t="b">
        <f>IF('DATA INPUT'!B133="T. ser",0.0005*I129^0.5148,IF('DATA INPUT'!B133="S. mel",0.051*I129^0.7789/1000,IF('DATA INPUT'!B133="V. ref",0.0958*I129^0.7253/1000,IF('DATA INPUT'!B133=1,0.0426*I129^0.786/1000,IF('DATA INPUT'!B133=2,0.0005*I129^0.5148,FALSE)))))</f>
        <v>0</v>
      </c>
      <c r="T129" s="59">
        <f t="shared" si="16"/>
        <v>0</v>
      </c>
    </row>
    <row r="130" spans="1:20" x14ac:dyDescent="0.2">
      <c r="A130" s="218">
        <f>'DATA INPUT'!C134</f>
        <v>0</v>
      </c>
      <c r="B130" s="11" t="b">
        <f>IF('DATA INPUT'!B134="T. ser",0.1656*'DATA INPUT'!D134^1.4655,IF('DATA INPUT'!B134="S. mel",135.53*'DATA INPUT'!D134^3.8701/1000,IF('DATA INPUT'!B134="V. ref",143.01*'DATA INPUT'!D134^3.3147/1000,IF('DATA INPUT'!B134=1,143.35*'DATA INPUT'!D134^3.6046/1000,IF('DATA INPUT'!B134=2,0.1656*'DATA INPUT'!D134^1.4655,FALSE)))))</f>
        <v>0</v>
      </c>
      <c r="C130" s="8" t="b">
        <f>IF('DATA INPUT'!B134="T. ser",0.3356*'DATA INPUT'!E134^0.9984,IF('DATA INPUT'!B134="S. mel",24.906*'DATA INPUT'!E134^4.7681/1000,IF('DATA INPUT'!B134="V. ref",118.45*'DATA INPUT'!E134^3.5959/1000,IF('DATA INPUT'!B134=1,55.075*'DATA INPUT'!E134^4.0991/1000,IF('DATA INPUT'!B134=2,0.3356*'DATA INPUT'!E134^0.9984,FALSE)))))</f>
        <v>0</v>
      </c>
      <c r="D130" s="18" t="b">
        <f>IF('DATA INPUT'!B134="T. ser",0.0615*('DATA INPUT'!F134*'DATA INPUT'!G134)^0.9573,IF('DATA INPUT'!B134="S. mel",46.162*('DATA INPUT'!F134*'DATA INPUT'!G134)^2.3652/1000,IF('DATA INPUT'!B134="V. ref",90.34*('DATA INPUT'!F134*'DATA INPUT'!G134)^1.9756/1000,IF('DATA INPUT'!B134=1,63.022*('DATA INPUT'!F134*'DATA INPUT'!G134)^2.1551/1000,IF('DATA INPUT'!B134=2,0.0615*('DATA INPUT'!F134*'DATA INPUT'!G134)^0.9573,FALSE)))))</f>
        <v>0</v>
      </c>
      <c r="E130" s="8" t="b">
        <f>IF('DATA INPUT'!B134="T. ser",5.0562*('DATA INPUT'!H134*'DATA INPUT'!I134)^0.9574,IF('DATA INPUT'!B134="S. mel",44047*('DATA INPUT'!H134*'DATA INPUT'!I134)^1.5456/1000,IF('DATA INPUT'!B134="V. ref",91930*('DATA INPUT'!H134*'DATA INPUT'!I134)^1.7774/1000,IF('DATA INPUT'!B134=1,62601*('DATA INPUT'!H134*'DATA INPUT'!I134)^1.6463/1000,IF('DATA INPUT'!B134=2,5.0562*('DATA INPUT'!H134*'DATA INPUT'!I134)^0.9574,FALSE)))))</f>
        <v>0</v>
      </c>
      <c r="F130" s="18" t="b">
        <f>IF('DATA INPUT'!B134="T. ser",0.0009*I130^0.4477,IF('DATA INPUT'!B134="S. mel",0.0000004*I130^1.4912/1000,IF('DATA INPUT'!B134="V. ref",0.00000005*I130^1.6284/1000,IF('DATA INPUT'!B134=1,0.0000007*I130^1.4601/1000,IF('DATA INPUT'!B134=2,0.0009*I130^0.4477,FALSE)))))</f>
        <v>0</v>
      </c>
      <c r="G130" s="57">
        <f t="shared" si="14"/>
        <v>0</v>
      </c>
      <c r="H130" s="57"/>
      <c r="I130" s="2" t="b">
        <f>IF('DATA INPUT'!B134="T. ser",3.142*'DATA INPUT'!N134^2*'DATA INPUT'!O134/3+3.142*'DATA INPUT'!P134^2/3*(3*'DATA INPUT'!N134-'DATA INPUT'!P134),IF('DATA INPUT'!B134="S. mel",3.142*'DATA INPUT'!N134^2*'DATA INPUT'!O134/3+3.142*'DATA INPUT'!P134^2/3*(3*'DATA INPUT'!N134-'DATA INPUT'!P134),IF('DATA INPUT'!B134="V. ref",3.142*'DATA INPUT'!N134^2*'DATA INPUT'!O134/3+3.142*'DATA INPUT'!P134^2/3*(3*'DATA INPUT'!N134-'DATA INPUT'!P134),IF('DATA INPUT'!B134=1,3.142*'DATA INPUT'!N134^2*'DATA INPUT'!O134/3+3.142*'DATA INPUT'!P134^2/3*(3*'DATA INPUT'!N134-'DATA INPUT'!P134),IF('DATA INPUT'!B134=2,3.142*'DATA INPUT'!N134^2*'DATA INPUT'!O134/3+3.142*'DATA INPUT'!P134^2/3*(3*'DATA INPUT'!N134-'DATA INPUT'!P134),FALSE)))))</f>
        <v>0</v>
      </c>
      <c r="J130" s="2" t="b">
        <f>IF('DATA INPUT'!B134="T. ser",0.0458*CALCULATIONS!I130^0.6841,IF('DATA INPUT'!B134="S. mel",0.6047*CALCULATIONS!I130^0.6433,IF('DATA INPUT'!B134="V. ref",0.77086*CALCULATIONS!I130^0.4936,IF('DATA INPUT'!B134=1,0.68778*CALCULATIONS!I130^0.56845,IF('DATA INPUT'!B134=2,0.0458*CALCULATIONS!I130^0.6841,FALSE)))))</f>
        <v>0</v>
      </c>
      <c r="K130" s="3">
        <f t="shared" si="15"/>
        <v>0</v>
      </c>
      <c r="L130" s="3" t="b">
        <f>IF('DATA INPUT'!B134="T. ser",('DATA INPUT'!D134+'DATA INPUT'!F134+'DATA INPUT'!H134+'DATA INPUT'!J134)/1.5,IF('DATA INPUT'!B134="V. ref",('DATA INPUT'!D134+'DATA INPUT'!F134+'DATA INPUT'!H134+'DATA INPUT'!J134)/1.5,IF('DATA INPUT'!B134="S. mel",('DATA INPUT'!D134+'DATA INPUT'!F134+'DATA INPUT'!H134+'DATA INPUT'!J134)/1.5,IF('DATA INPUT'!B134=1,('DATA INPUT'!D134+'DATA INPUT'!F134+'DATA INPUT'!H134+'DATA INPUT'!J134)/1.5,IF('DATA INPUT'!B134=2,('DATA INPUT'!D134+'DATA INPUT'!F134+'DATA INPUT'!H134+'DATA INPUT'!J134)/1.5,FALSE)))))</f>
        <v>0</v>
      </c>
      <c r="N130" s="16">
        <f>'DATA INPUT'!C134</f>
        <v>0</v>
      </c>
      <c r="O130" s="3" t="b">
        <f>IF('DATA INPUT'!B134="T. ser",0.3446*'DATA INPUT'!D134^1.0619,IF('DATA INPUT'!B134="S. mel",(1270.6*'DATA INPUT'!D134^2.0933)/1000,IF('DATA INPUT'!B134="V. ref",(816.25*'DATA INPUT'!D134^2.1754)/1000,IF('DATA INPUT'!B134=1,(1492.4*'DATA INPUT'!D134^1.7591)/1000,IF('DATA INPUT'!B134=2,0.3446*'DATA INPUT'!D134^1.0619,FALSE)))))</f>
        <v>0</v>
      </c>
      <c r="P130" s="3" t="b">
        <f>IF('DATA INPUT'!B134="T. ser",0.3662*'DATA INPUT'!E134^1.5061,IF('DATA INPUT'!B134="S. mel",(748.47*'DATA INPUT'!E134^2.2691)/1000,IF('DATA INPUT'!B134="V. ref",(953.69*'DATA INPUT'!E134^1.9524)/1000,IF('DATA INPUT'!B134=1,(695.02*'DATA INPUT'!E134^2.3452)/1000,IF('DATA INPUT'!B134=2,0.3662*'DATA INPUT'!E134^1.5061,FALSE)))))</f>
        <v>0</v>
      </c>
      <c r="Q130" s="3" t="b">
        <f>IF('DATA INPUT'!B134="T. ser",0.1225*('DATA INPUT'!F134*'DATA INPUT'!G134)^0.8272,IF('DATA INPUT'!B134="S. mel",(925.08*('DATA INPUT'!F134*'DATA INPUT'!G134)^1.1603)/1000,IF('DATA INPUT'!B134="V. ref",(776.29*('DATA INPUT'!F134*'DATA INPUT'!G134)^1.1226)/1000,IF('DATA INPUT'!B134=1,(884.6*('DATA INPUT'!F134*'DATA INPUT'!G134)^1.129)/1000,IF('DATA INPUT'!B134=2,0.1225*('DATA INPUT'!F134*'DATA INPUT'!G134)^0.8272,FALSE)))))</f>
        <v>0</v>
      </c>
      <c r="R130" s="3" t="b">
        <f>IF('DATA INPUT'!B134="T. ser",5.5287*('DATA INPUT'!H134*'DATA INPUT'!I134)^0.8272,IF('DATA INPUT'!B134="S. mel",(31469*('DATA INPUT'!H134*'DATA INPUT'!I134)^0.8608)/1000,IF('DATA INPUT'!B134="V. ref",(39394*('DATA INPUT'!H134*'DATA INPUT'!I134)^1.005)/1000,IF('DATA INPUT'!B134=1,(31791*('DATA INPUT'!H134*'DATA INPUT'!I134)^0.8467)/1000,IF('DATA INPUT'!B134=2,5.5287*('DATA INPUT'!H134*'DATA INPUT'!I134)^0.8272,FALSE)))))</f>
        <v>0</v>
      </c>
      <c r="S130" s="3" t="b">
        <f>IF('DATA INPUT'!B134="T. ser",0.0005*I130^0.5148,IF('DATA INPUT'!B134="S. mel",0.051*I130^0.7789/1000,IF('DATA INPUT'!B134="V. ref",0.0958*I130^0.7253/1000,IF('DATA INPUT'!B134=1,0.0426*I130^0.786/1000,IF('DATA INPUT'!B134=2,0.0005*I130^0.5148,FALSE)))))</f>
        <v>0</v>
      </c>
      <c r="T130" s="59">
        <f t="shared" si="16"/>
        <v>0</v>
      </c>
    </row>
    <row r="131" spans="1:20" x14ac:dyDescent="0.2">
      <c r="A131" s="218">
        <f>'DATA INPUT'!C135</f>
        <v>0</v>
      </c>
      <c r="B131" s="11" t="b">
        <f>IF('DATA INPUT'!B135="T. ser",0.1656*'DATA INPUT'!D135^1.4655,IF('DATA INPUT'!B135="S. mel",135.53*'DATA INPUT'!D135^3.8701/1000,IF('DATA INPUT'!B135="V. ref",143.01*'DATA INPUT'!D135^3.3147/1000,IF('DATA INPUT'!B135=1,143.35*'DATA INPUT'!D135^3.6046/1000,IF('DATA INPUT'!B135=2,0.1656*'DATA INPUT'!D135^1.4655,FALSE)))))</f>
        <v>0</v>
      </c>
      <c r="C131" s="8" t="b">
        <f>IF('DATA INPUT'!B135="T. ser",0.3356*'DATA INPUT'!E135^0.9984,IF('DATA INPUT'!B135="S. mel",24.906*'DATA INPUT'!E135^4.7681/1000,IF('DATA INPUT'!B135="V. ref",118.45*'DATA INPUT'!E135^3.5959/1000,IF('DATA INPUT'!B135=1,55.075*'DATA INPUT'!E135^4.0991/1000,IF('DATA INPUT'!B135=2,0.3356*'DATA INPUT'!E135^0.9984,FALSE)))))</f>
        <v>0</v>
      </c>
      <c r="D131" s="18" t="b">
        <f>IF('DATA INPUT'!B135="T. ser",0.0615*('DATA INPUT'!F135*'DATA INPUT'!G135)^0.9573,IF('DATA INPUT'!B135="S. mel",46.162*('DATA INPUT'!F135*'DATA INPUT'!G135)^2.3652/1000,IF('DATA INPUT'!B135="V. ref",90.34*('DATA INPUT'!F135*'DATA INPUT'!G135)^1.9756/1000,IF('DATA INPUT'!B135=1,63.022*('DATA INPUT'!F135*'DATA INPUT'!G135)^2.1551/1000,IF('DATA INPUT'!B135=2,0.0615*('DATA INPUT'!F135*'DATA INPUT'!G135)^0.9573,FALSE)))))</f>
        <v>0</v>
      </c>
      <c r="E131" s="8" t="b">
        <f>IF('DATA INPUT'!B135="T. ser",5.0562*('DATA INPUT'!H135*'DATA INPUT'!I135)^0.9574,IF('DATA INPUT'!B135="S. mel",44047*('DATA INPUT'!H135*'DATA INPUT'!I135)^1.5456/1000,IF('DATA INPUT'!B135="V. ref",91930*('DATA INPUT'!H135*'DATA INPUT'!I135)^1.7774/1000,IF('DATA INPUT'!B135=1,62601*('DATA INPUT'!H135*'DATA INPUT'!I135)^1.6463/1000,IF('DATA INPUT'!B135=2,5.0562*('DATA INPUT'!H135*'DATA INPUT'!I135)^0.9574,FALSE)))))</f>
        <v>0</v>
      </c>
      <c r="F131" s="18" t="b">
        <f>IF('DATA INPUT'!B135="T. ser",0.0009*I131^0.4477,IF('DATA INPUT'!B135="S. mel",0.0000004*I131^1.4912/1000,IF('DATA INPUT'!B135="V. ref",0.00000005*I131^1.6284/1000,IF('DATA INPUT'!B135=1,0.0000007*I131^1.4601/1000,IF('DATA INPUT'!B135=2,0.0009*I131^0.4477,FALSE)))))</f>
        <v>0</v>
      </c>
      <c r="G131" s="57">
        <f t="shared" si="14"/>
        <v>0</v>
      </c>
      <c r="H131" s="57"/>
      <c r="I131" s="2" t="b">
        <f>IF('DATA INPUT'!B135="T. ser",3.142*'DATA INPUT'!N135^2*'DATA INPUT'!O135/3+3.142*'DATA INPUT'!P135^2/3*(3*'DATA INPUT'!N135-'DATA INPUT'!P135),IF('DATA INPUT'!B135="S. mel",3.142*'DATA INPUT'!N135^2*'DATA INPUT'!O135/3+3.142*'DATA INPUT'!P135^2/3*(3*'DATA INPUT'!N135-'DATA INPUT'!P135),IF('DATA INPUT'!B135="V. ref",3.142*'DATA INPUT'!N135^2*'DATA INPUT'!O135/3+3.142*'DATA INPUT'!P135^2/3*(3*'DATA INPUT'!N135-'DATA INPUT'!P135),IF('DATA INPUT'!B135=1,3.142*'DATA INPUT'!N135^2*'DATA INPUT'!O135/3+3.142*'DATA INPUT'!P135^2/3*(3*'DATA INPUT'!N135-'DATA INPUT'!P135),IF('DATA INPUT'!B135=2,3.142*'DATA INPUT'!N135^2*'DATA INPUT'!O135/3+3.142*'DATA INPUT'!P135^2/3*(3*'DATA INPUT'!N135-'DATA INPUT'!P135),FALSE)))))</f>
        <v>0</v>
      </c>
      <c r="J131" s="2" t="b">
        <f>IF('DATA INPUT'!B135="T. ser",0.0458*CALCULATIONS!I131^0.6841,IF('DATA INPUT'!B135="S. mel",0.6047*CALCULATIONS!I131^0.6433,IF('DATA INPUT'!B135="V. ref",0.77086*CALCULATIONS!I131^0.4936,IF('DATA INPUT'!B135=1,0.68778*CALCULATIONS!I131^0.56845,IF('DATA INPUT'!B135=2,0.0458*CALCULATIONS!I131^0.6841,FALSE)))))</f>
        <v>0</v>
      </c>
      <c r="K131" s="3">
        <f t="shared" si="15"/>
        <v>0</v>
      </c>
      <c r="L131" s="3" t="b">
        <f>IF('DATA INPUT'!B135="T. ser",('DATA INPUT'!D135+'DATA INPUT'!F135+'DATA INPUT'!H135+'DATA INPUT'!J135)/1.5,IF('DATA INPUT'!B135="V. ref",('DATA INPUT'!D135+'DATA INPUT'!F135+'DATA INPUT'!H135+'DATA INPUT'!J135)/1.5,IF('DATA INPUT'!B135="S. mel",('DATA INPUT'!D135+'DATA INPUT'!F135+'DATA INPUT'!H135+'DATA INPUT'!J135)/1.5,IF('DATA INPUT'!B135=1,('DATA INPUT'!D135+'DATA INPUT'!F135+'DATA INPUT'!H135+'DATA INPUT'!J135)/1.5,IF('DATA INPUT'!B135=2,('DATA INPUT'!D135+'DATA INPUT'!F135+'DATA INPUT'!H135+'DATA INPUT'!J135)/1.5,FALSE)))))</f>
        <v>0</v>
      </c>
      <c r="N131" s="16">
        <f>'DATA INPUT'!C135</f>
        <v>0</v>
      </c>
      <c r="O131" s="3" t="b">
        <f>IF('DATA INPUT'!B135="T. ser",0.3446*'DATA INPUT'!D135^1.0619,IF('DATA INPUT'!B135="S. mel",(1270.6*'DATA INPUT'!D135^2.0933)/1000,IF('DATA INPUT'!B135="V. ref",(816.25*'DATA INPUT'!D135^2.1754)/1000,IF('DATA INPUT'!B135=1,(1492.4*'DATA INPUT'!D135^1.7591)/1000,IF('DATA INPUT'!B135=2,0.3446*'DATA INPUT'!D135^1.0619,FALSE)))))</f>
        <v>0</v>
      </c>
      <c r="P131" s="3" t="b">
        <f>IF('DATA INPUT'!B135="T. ser",0.3662*'DATA INPUT'!E135^1.5061,IF('DATA INPUT'!B135="S. mel",(748.47*'DATA INPUT'!E135^2.2691)/1000,IF('DATA INPUT'!B135="V. ref",(953.69*'DATA INPUT'!E135^1.9524)/1000,IF('DATA INPUT'!B135=1,(695.02*'DATA INPUT'!E135^2.3452)/1000,IF('DATA INPUT'!B135=2,0.3662*'DATA INPUT'!E135^1.5061,FALSE)))))</f>
        <v>0</v>
      </c>
      <c r="Q131" s="3" t="b">
        <f>IF('DATA INPUT'!B135="T. ser",0.1225*('DATA INPUT'!F135*'DATA INPUT'!G135)^0.8272,IF('DATA INPUT'!B135="S. mel",(925.08*('DATA INPUT'!F135*'DATA INPUT'!G135)^1.1603)/1000,IF('DATA INPUT'!B135="V. ref",(776.29*('DATA INPUT'!F135*'DATA INPUT'!G135)^1.1226)/1000,IF('DATA INPUT'!B135=1,(884.6*('DATA INPUT'!F135*'DATA INPUT'!G135)^1.129)/1000,IF('DATA INPUT'!B135=2,0.1225*('DATA INPUT'!F135*'DATA INPUT'!G135)^0.8272,FALSE)))))</f>
        <v>0</v>
      </c>
      <c r="R131" s="3" t="b">
        <f>IF('DATA INPUT'!B135="T. ser",5.5287*('DATA INPUT'!H135*'DATA INPUT'!I135)^0.8272,IF('DATA INPUT'!B135="S. mel",(31469*('DATA INPUT'!H135*'DATA INPUT'!I135)^0.8608)/1000,IF('DATA INPUT'!B135="V. ref",(39394*('DATA INPUT'!H135*'DATA INPUT'!I135)^1.005)/1000,IF('DATA INPUT'!B135=1,(31791*('DATA INPUT'!H135*'DATA INPUT'!I135)^0.8467)/1000,IF('DATA INPUT'!B135=2,5.5287*('DATA INPUT'!H135*'DATA INPUT'!I135)^0.8272,FALSE)))))</f>
        <v>0</v>
      </c>
      <c r="S131" s="3" t="b">
        <f>IF('DATA INPUT'!B135="T. ser",0.0005*I131^0.5148,IF('DATA INPUT'!B135="S. mel",0.051*I131^0.7789/1000,IF('DATA INPUT'!B135="V. ref",0.0958*I131^0.7253/1000,IF('DATA INPUT'!B135=1,0.0426*I131^0.786/1000,IF('DATA INPUT'!B135=2,0.0005*I131^0.5148,FALSE)))))</f>
        <v>0</v>
      </c>
      <c r="T131" s="59">
        <f t="shared" si="16"/>
        <v>0</v>
      </c>
    </row>
    <row r="132" spans="1:20" x14ac:dyDescent="0.2">
      <c r="A132" s="218">
        <f>'DATA INPUT'!C136</f>
        <v>0</v>
      </c>
      <c r="B132" s="11" t="b">
        <f>IF('DATA INPUT'!B136="T. ser",0.1656*'DATA INPUT'!D136^1.4655,IF('DATA INPUT'!B136="S. mel",135.53*'DATA INPUT'!D136^3.8701/1000,IF('DATA INPUT'!B136="V. ref",143.01*'DATA INPUT'!D136^3.3147/1000,IF('DATA INPUT'!B136=1,143.35*'DATA INPUT'!D136^3.6046/1000,IF('DATA INPUT'!B136=2,0.1656*'DATA INPUT'!D136^1.4655,FALSE)))))</f>
        <v>0</v>
      </c>
      <c r="C132" s="8" t="b">
        <f>IF('DATA INPUT'!B136="T. ser",0.3356*'DATA INPUT'!E136^0.9984,IF('DATA INPUT'!B136="S. mel",24.906*'DATA INPUT'!E136^4.7681/1000,IF('DATA INPUT'!B136="V. ref",118.45*'DATA INPUT'!E136^3.5959/1000,IF('DATA INPUT'!B136=1,55.075*'DATA INPUT'!E136^4.0991/1000,IF('DATA INPUT'!B136=2,0.3356*'DATA INPUT'!E136^0.9984,FALSE)))))</f>
        <v>0</v>
      </c>
      <c r="D132" s="18" t="b">
        <f>IF('DATA INPUT'!B136="T. ser",0.0615*('DATA INPUT'!F136*'DATA INPUT'!G136)^0.9573,IF('DATA INPUT'!B136="S. mel",46.162*('DATA INPUT'!F136*'DATA INPUT'!G136)^2.3652/1000,IF('DATA INPUT'!B136="V. ref",90.34*('DATA INPUT'!F136*'DATA INPUT'!G136)^1.9756/1000,IF('DATA INPUT'!B136=1,63.022*('DATA INPUT'!F136*'DATA INPUT'!G136)^2.1551/1000,IF('DATA INPUT'!B136=2,0.0615*('DATA INPUT'!F136*'DATA INPUT'!G136)^0.9573,FALSE)))))</f>
        <v>0</v>
      </c>
      <c r="E132" s="8" t="b">
        <f>IF('DATA INPUT'!B136="T. ser",5.0562*('DATA INPUT'!H136*'DATA INPUT'!I136)^0.9574,IF('DATA INPUT'!B136="S. mel",44047*('DATA INPUT'!H136*'DATA INPUT'!I136)^1.5456/1000,IF('DATA INPUT'!B136="V. ref",91930*('DATA INPUT'!H136*'DATA INPUT'!I136)^1.7774/1000,IF('DATA INPUT'!B136=1,62601*('DATA INPUT'!H136*'DATA INPUT'!I136)^1.6463/1000,IF('DATA INPUT'!B136=2,5.0562*('DATA INPUT'!H136*'DATA INPUT'!I136)^0.9574,FALSE)))))</f>
        <v>0</v>
      </c>
      <c r="F132" s="18" t="b">
        <f>IF('DATA INPUT'!B136="T. ser",0.0009*I132^0.4477,IF('DATA INPUT'!B136="S. mel",0.0000004*I132^1.4912/1000,IF('DATA INPUT'!B136="V. ref",0.00000005*I132^1.6284/1000,IF('DATA INPUT'!B136=1,0.0000007*I132^1.4601/1000,IF('DATA INPUT'!B136=2,0.0009*I132^0.4477,FALSE)))))</f>
        <v>0</v>
      </c>
      <c r="G132" s="57">
        <f t="shared" si="14"/>
        <v>0</v>
      </c>
      <c r="H132" s="57"/>
      <c r="I132" s="2" t="b">
        <f>IF('DATA INPUT'!B136="T. ser",3.142*'DATA INPUT'!N136^2*'DATA INPUT'!O136/3+3.142*'DATA INPUT'!P136^2/3*(3*'DATA INPUT'!N136-'DATA INPUT'!P136),IF('DATA INPUT'!B136="S. mel",3.142*'DATA INPUT'!N136^2*'DATA INPUT'!O136/3+3.142*'DATA INPUT'!P136^2/3*(3*'DATA INPUT'!N136-'DATA INPUT'!P136),IF('DATA INPUT'!B136="V. ref",3.142*'DATA INPUT'!N136^2*'DATA INPUT'!O136/3+3.142*'DATA INPUT'!P136^2/3*(3*'DATA INPUT'!N136-'DATA INPUT'!P136),IF('DATA INPUT'!B136=1,3.142*'DATA INPUT'!N136^2*'DATA INPUT'!O136/3+3.142*'DATA INPUT'!P136^2/3*(3*'DATA INPUT'!N136-'DATA INPUT'!P136),IF('DATA INPUT'!B136=2,3.142*'DATA INPUT'!N136^2*'DATA INPUT'!O136/3+3.142*'DATA INPUT'!P136^2/3*(3*'DATA INPUT'!N136-'DATA INPUT'!P136),FALSE)))))</f>
        <v>0</v>
      </c>
      <c r="J132" s="2" t="b">
        <f>IF('DATA INPUT'!B136="T. ser",0.0458*CALCULATIONS!I132^0.6841,IF('DATA INPUT'!B136="S. mel",0.6047*CALCULATIONS!I132^0.6433,IF('DATA INPUT'!B136="V. ref",0.77086*CALCULATIONS!I132^0.4936,IF('DATA INPUT'!B136=1,0.68778*CALCULATIONS!I132^0.56845,IF('DATA INPUT'!B136=2,0.0458*CALCULATIONS!I132^0.6841,FALSE)))))</f>
        <v>0</v>
      </c>
      <c r="K132" s="3">
        <f t="shared" si="15"/>
        <v>0</v>
      </c>
      <c r="L132" s="3" t="b">
        <f>IF('DATA INPUT'!B136="T. ser",('DATA INPUT'!D136+'DATA INPUT'!F136+'DATA INPUT'!H136+'DATA INPUT'!J136)/1.5,IF('DATA INPUT'!B136="V. ref",('DATA INPUT'!D136+'DATA INPUT'!F136+'DATA INPUT'!H136+'DATA INPUT'!J136)/1.5,IF('DATA INPUT'!B136="S. mel",('DATA INPUT'!D136+'DATA INPUT'!F136+'DATA INPUT'!H136+'DATA INPUT'!J136)/1.5,IF('DATA INPUT'!B136=1,('DATA INPUT'!D136+'DATA INPUT'!F136+'DATA INPUT'!H136+'DATA INPUT'!J136)/1.5,IF('DATA INPUT'!B136=2,('DATA INPUT'!D136+'DATA INPUT'!F136+'DATA INPUT'!H136+'DATA INPUT'!J136)/1.5,FALSE)))))</f>
        <v>0</v>
      </c>
      <c r="N132" s="16">
        <f>'DATA INPUT'!C136</f>
        <v>0</v>
      </c>
      <c r="O132" s="3" t="b">
        <f>IF('DATA INPUT'!B136="T. ser",0.3446*'DATA INPUT'!D136^1.0619,IF('DATA INPUT'!B136="S. mel",(1270.6*'DATA INPUT'!D136^2.0933)/1000,IF('DATA INPUT'!B136="V. ref",(816.25*'DATA INPUT'!D136^2.1754)/1000,IF('DATA INPUT'!B136=1,(1492.4*'DATA INPUT'!D136^1.7591)/1000,IF('DATA INPUT'!B136=2,0.3446*'DATA INPUT'!D136^1.0619,FALSE)))))</f>
        <v>0</v>
      </c>
      <c r="P132" s="3" t="b">
        <f>IF('DATA INPUT'!B136="T. ser",0.3662*'DATA INPUT'!E136^1.5061,IF('DATA INPUT'!B136="S. mel",(748.47*'DATA INPUT'!E136^2.2691)/1000,IF('DATA INPUT'!B136="V. ref",(953.69*'DATA INPUT'!E136^1.9524)/1000,IF('DATA INPUT'!B136=1,(695.02*'DATA INPUT'!E136^2.3452)/1000,IF('DATA INPUT'!B136=2,0.3662*'DATA INPUT'!E136^1.5061,FALSE)))))</f>
        <v>0</v>
      </c>
      <c r="Q132" s="3" t="b">
        <f>IF('DATA INPUT'!B136="T. ser",0.1225*('DATA INPUT'!F136*'DATA INPUT'!G136)^0.8272,IF('DATA INPUT'!B136="S. mel",(925.08*('DATA INPUT'!F136*'DATA INPUT'!G136)^1.1603)/1000,IF('DATA INPUT'!B136="V. ref",(776.29*('DATA INPUT'!F136*'DATA INPUT'!G136)^1.1226)/1000,IF('DATA INPUT'!B136=1,(884.6*('DATA INPUT'!F136*'DATA INPUT'!G136)^1.129)/1000,IF('DATA INPUT'!B136=2,0.1225*('DATA INPUT'!F136*'DATA INPUT'!G136)^0.8272,FALSE)))))</f>
        <v>0</v>
      </c>
      <c r="R132" s="3" t="b">
        <f>IF('DATA INPUT'!B136="T. ser",5.5287*('DATA INPUT'!H136*'DATA INPUT'!I136)^0.8272,IF('DATA INPUT'!B136="S. mel",(31469*('DATA INPUT'!H136*'DATA INPUT'!I136)^0.8608)/1000,IF('DATA INPUT'!B136="V. ref",(39394*('DATA INPUT'!H136*'DATA INPUT'!I136)^1.005)/1000,IF('DATA INPUT'!B136=1,(31791*('DATA INPUT'!H136*'DATA INPUT'!I136)^0.8467)/1000,IF('DATA INPUT'!B136=2,5.5287*('DATA INPUT'!H136*'DATA INPUT'!I136)^0.8272,FALSE)))))</f>
        <v>0</v>
      </c>
      <c r="S132" s="3" t="b">
        <f>IF('DATA INPUT'!B136="T. ser",0.0005*I132^0.5148,IF('DATA INPUT'!B136="S. mel",0.051*I132^0.7789/1000,IF('DATA INPUT'!B136="V. ref",0.0958*I132^0.7253/1000,IF('DATA INPUT'!B136=1,0.0426*I132^0.786/1000,IF('DATA INPUT'!B136=2,0.0005*I132^0.5148,FALSE)))))</f>
        <v>0</v>
      </c>
      <c r="T132" s="59">
        <f t="shared" si="16"/>
        <v>0</v>
      </c>
    </row>
    <row r="133" spans="1:20" x14ac:dyDescent="0.2">
      <c r="A133" s="218">
        <f>'DATA INPUT'!C137</f>
        <v>0</v>
      </c>
      <c r="B133" s="11" t="b">
        <f>IF('DATA INPUT'!B137="T. ser",0.1656*'DATA INPUT'!D137^1.4655,IF('DATA INPUT'!B137="S. mel",135.53*'DATA INPUT'!D137^3.8701/1000,IF('DATA INPUT'!B137="V. ref",143.01*'DATA INPUT'!D137^3.3147/1000,IF('DATA INPUT'!B137=1,143.35*'DATA INPUT'!D137^3.6046/1000,IF('DATA INPUT'!B137=2,0.1656*'DATA INPUT'!D137^1.4655,FALSE)))))</f>
        <v>0</v>
      </c>
      <c r="C133" s="8" t="b">
        <f>IF('DATA INPUT'!B137="T. ser",0.3356*'DATA INPUT'!E137^0.9984,IF('DATA INPUT'!B137="S. mel",24.906*'DATA INPUT'!E137^4.7681/1000,IF('DATA INPUT'!B137="V. ref",118.45*'DATA INPUT'!E137^3.5959/1000,IF('DATA INPUT'!B137=1,55.075*'DATA INPUT'!E137^4.0991/1000,IF('DATA INPUT'!B137=2,0.3356*'DATA INPUT'!E137^0.9984,FALSE)))))</f>
        <v>0</v>
      </c>
      <c r="D133" s="18" t="b">
        <f>IF('DATA INPUT'!B137="T. ser",0.0615*('DATA INPUT'!F137*'DATA INPUT'!G137)^0.9573,IF('DATA INPUT'!B137="S. mel",46.162*('DATA INPUT'!F137*'DATA INPUT'!G137)^2.3652/1000,IF('DATA INPUT'!B137="V. ref",90.34*('DATA INPUT'!F137*'DATA INPUT'!G137)^1.9756/1000,IF('DATA INPUT'!B137=1,63.022*('DATA INPUT'!F137*'DATA INPUT'!G137)^2.1551/1000,IF('DATA INPUT'!B137=2,0.0615*('DATA INPUT'!F137*'DATA INPUT'!G137)^0.9573,FALSE)))))</f>
        <v>0</v>
      </c>
      <c r="E133" s="8" t="b">
        <f>IF('DATA INPUT'!B137="T. ser",5.0562*('DATA INPUT'!H137*'DATA INPUT'!I137)^0.9574,IF('DATA INPUT'!B137="S. mel",44047*('DATA INPUT'!H137*'DATA INPUT'!I137)^1.5456/1000,IF('DATA INPUT'!B137="V. ref",91930*('DATA INPUT'!H137*'DATA INPUT'!I137)^1.7774/1000,IF('DATA INPUT'!B137=1,62601*('DATA INPUT'!H137*'DATA INPUT'!I137)^1.6463/1000,IF('DATA INPUT'!B137=2,5.0562*('DATA INPUT'!H137*'DATA INPUT'!I137)^0.9574,FALSE)))))</f>
        <v>0</v>
      </c>
      <c r="F133" s="18" t="b">
        <f>IF('DATA INPUT'!B137="T. ser",0.0009*I133^0.4477,IF('DATA INPUT'!B137="S. mel",0.0000004*I133^1.4912/1000,IF('DATA INPUT'!B137="V. ref",0.00000005*I133^1.6284/1000,IF('DATA INPUT'!B137=1,0.0000007*I133^1.4601/1000,IF('DATA INPUT'!B137=2,0.0009*I133^0.4477,FALSE)))))</f>
        <v>0</v>
      </c>
      <c r="G133" s="57">
        <f t="shared" si="14"/>
        <v>0</v>
      </c>
      <c r="H133" s="57"/>
      <c r="I133" s="2" t="b">
        <f>IF('DATA INPUT'!B137="T. ser",3.142*'DATA INPUT'!N137^2*'DATA INPUT'!O137/3+3.142*'DATA INPUT'!P137^2/3*(3*'DATA INPUT'!N137-'DATA INPUT'!P137),IF('DATA INPUT'!B137="S. mel",3.142*'DATA INPUT'!N137^2*'DATA INPUT'!O137/3+3.142*'DATA INPUT'!P137^2/3*(3*'DATA INPUT'!N137-'DATA INPUT'!P137),IF('DATA INPUT'!B137="V. ref",3.142*'DATA INPUT'!N137^2*'DATA INPUT'!O137/3+3.142*'DATA INPUT'!P137^2/3*(3*'DATA INPUT'!N137-'DATA INPUT'!P137),IF('DATA INPUT'!B137=1,3.142*'DATA INPUT'!N137^2*'DATA INPUT'!O137/3+3.142*'DATA INPUT'!P137^2/3*(3*'DATA INPUT'!N137-'DATA INPUT'!P137),IF('DATA INPUT'!B137=2,3.142*'DATA INPUT'!N137^2*'DATA INPUT'!O137/3+3.142*'DATA INPUT'!P137^2/3*(3*'DATA INPUT'!N137-'DATA INPUT'!P137),FALSE)))))</f>
        <v>0</v>
      </c>
      <c r="J133" s="2" t="b">
        <f>IF('DATA INPUT'!B137="T. ser",0.0458*CALCULATIONS!I133^0.6841,IF('DATA INPUT'!B137="S. mel",0.6047*CALCULATIONS!I133^0.6433,IF('DATA INPUT'!B137="V. ref",0.77086*CALCULATIONS!I133^0.4936,IF('DATA INPUT'!B137=1,0.68778*CALCULATIONS!I133^0.56845,IF('DATA INPUT'!B137=2,0.0458*CALCULATIONS!I133^0.6841,FALSE)))))</f>
        <v>0</v>
      </c>
      <c r="K133" s="3">
        <f t="shared" si="15"/>
        <v>0</v>
      </c>
      <c r="L133" s="3" t="b">
        <f>IF('DATA INPUT'!B137="T. ser",('DATA INPUT'!D137+'DATA INPUT'!F137+'DATA INPUT'!H137+'DATA INPUT'!J137)/1.5,IF('DATA INPUT'!B137="V. ref",('DATA INPUT'!D137+'DATA INPUT'!F137+'DATA INPUT'!H137+'DATA INPUT'!J137)/1.5,IF('DATA INPUT'!B137="S. mel",('DATA INPUT'!D137+'DATA INPUT'!F137+'DATA INPUT'!H137+'DATA INPUT'!J137)/1.5,IF('DATA INPUT'!B137=1,('DATA INPUT'!D137+'DATA INPUT'!F137+'DATA INPUT'!H137+'DATA INPUT'!J137)/1.5,IF('DATA INPUT'!B137=2,('DATA INPUT'!D137+'DATA INPUT'!F137+'DATA INPUT'!H137+'DATA INPUT'!J137)/1.5,FALSE)))))</f>
        <v>0</v>
      </c>
      <c r="N133" s="16">
        <f>'DATA INPUT'!C137</f>
        <v>0</v>
      </c>
      <c r="O133" s="3" t="b">
        <f>IF('DATA INPUT'!B137="T. ser",0.3446*'DATA INPUT'!D137^1.0619,IF('DATA INPUT'!B137="S. mel",(1270.6*'DATA INPUT'!D137^2.0933)/1000,IF('DATA INPUT'!B137="V. ref",(816.25*'DATA INPUT'!D137^2.1754)/1000,IF('DATA INPUT'!B137=1,(1492.4*'DATA INPUT'!D137^1.7591)/1000,IF('DATA INPUT'!B137=2,0.3446*'DATA INPUT'!D137^1.0619,FALSE)))))</f>
        <v>0</v>
      </c>
      <c r="P133" s="3" t="b">
        <f>IF('DATA INPUT'!B137="T. ser",0.3662*'DATA INPUT'!E137^1.5061,IF('DATA INPUT'!B137="S. mel",(748.47*'DATA INPUT'!E137^2.2691)/1000,IF('DATA INPUT'!B137="V. ref",(953.69*'DATA INPUT'!E137^1.9524)/1000,IF('DATA INPUT'!B137=1,(695.02*'DATA INPUT'!E137^2.3452)/1000,IF('DATA INPUT'!B137=2,0.3662*'DATA INPUT'!E137^1.5061,FALSE)))))</f>
        <v>0</v>
      </c>
      <c r="Q133" s="3" t="b">
        <f>IF('DATA INPUT'!B137="T. ser",0.1225*('DATA INPUT'!F137*'DATA INPUT'!G137)^0.8272,IF('DATA INPUT'!B137="S. mel",(925.08*('DATA INPUT'!F137*'DATA INPUT'!G137)^1.1603)/1000,IF('DATA INPUT'!B137="V. ref",(776.29*('DATA INPUT'!F137*'DATA INPUT'!G137)^1.1226)/1000,IF('DATA INPUT'!B137=1,(884.6*('DATA INPUT'!F137*'DATA INPUT'!G137)^1.129)/1000,IF('DATA INPUT'!B137=2,0.1225*('DATA INPUT'!F137*'DATA INPUT'!G137)^0.8272,FALSE)))))</f>
        <v>0</v>
      </c>
      <c r="R133" s="3" t="b">
        <f>IF('DATA INPUT'!B137="T. ser",5.5287*('DATA INPUT'!H137*'DATA INPUT'!I137)^0.8272,IF('DATA INPUT'!B137="S. mel",(31469*('DATA INPUT'!H137*'DATA INPUT'!I137)^0.8608)/1000,IF('DATA INPUT'!B137="V. ref",(39394*('DATA INPUT'!H137*'DATA INPUT'!I137)^1.005)/1000,IF('DATA INPUT'!B137=1,(31791*('DATA INPUT'!H137*'DATA INPUT'!I137)^0.8467)/1000,IF('DATA INPUT'!B137=2,5.5287*('DATA INPUT'!H137*'DATA INPUT'!I137)^0.8272,FALSE)))))</f>
        <v>0</v>
      </c>
      <c r="S133" s="3" t="b">
        <f>IF('DATA INPUT'!B137="T. ser",0.0005*I133^0.5148,IF('DATA INPUT'!B137="S. mel",0.051*I133^0.7789/1000,IF('DATA INPUT'!B137="V. ref",0.0958*I133^0.7253/1000,IF('DATA INPUT'!B137=1,0.0426*I133^0.786/1000,IF('DATA INPUT'!B137=2,0.0005*I133^0.5148,FALSE)))))</f>
        <v>0</v>
      </c>
      <c r="T133" s="59">
        <f t="shared" si="16"/>
        <v>0</v>
      </c>
    </row>
    <row r="134" spans="1:20" x14ac:dyDescent="0.2">
      <c r="A134" s="218">
        <f>'DATA INPUT'!C138</f>
        <v>0</v>
      </c>
      <c r="B134" s="11" t="b">
        <f>IF('DATA INPUT'!B138="T. ser",0.1656*'DATA INPUT'!D138^1.4655,IF('DATA INPUT'!B138="S. mel",135.53*'DATA INPUT'!D138^3.8701/1000,IF('DATA INPUT'!B138="V. ref",143.01*'DATA INPUT'!D138^3.3147/1000,IF('DATA INPUT'!B138=1,143.35*'DATA INPUT'!D138^3.6046/1000,IF('DATA INPUT'!B138=2,0.1656*'DATA INPUT'!D138^1.4655,FALSE)))))</f>
        <v>0</v>
      </c>
      <c r="C134" s="8" t="b">
        <f>IF('DATA INPUT'!B138="T. ser",0.3356*'DATA INPUT'!E138^0.9984,IF('DATA INPUT'!B138="S. mel",24.906*'DATA INPUT'!E138^4.7681/1000,IF('DATA INPUT'!B138="V. ref",118.45*'DATA INPUT'!E138^3.5959/1000,IF('DATA INPUT'!B138=1,55.075*'DATA INPUT'!E138^4.0991/1000,IF('DATA INPUT'!B138=2,0.3356*'DATA INPUT'!E138^0.9984,FALSE)))))</f>
        <v>0</v>
      </c>
      <c r="D134" s="18" t="b">
        <f>IF('DATA INPUT'!B138="T. ser",0.0615*('DATA INPUT'!F138*'DATA INPUT'!G138)^0.9573,IF('DATA INPUT'!B138="S. mel",46.162*('DATA INPUT'!F138*'DATA INPUT'!G138)^2.3652/1000,IF('DATA INPUT'!B138="V. ref",90.34*('DATA INPUT'!F138*'DATA INPUT'!G138)^1.9756/1000,IF('DATA INPUT'!B138=1,63.022*('DATA INPUT'!F138*'DATA INPUT'!G138)^2.1551/1000,IF('DATA INPUT'!B138=2,0.0615*('DATA INPUT'!F138*'DATA INPUT'!G138)^0.9573,FALSE)))))</f>
        <v>0</v>
      </c>
      <c r="E134" s="8" t="b">
        <f>IF('DATA INPUT'!B138="T. ser",5.0562*('DATA INPUT'!H138*'DATA INPUT'!I138)^0.9574,IF('DATA INPUT'!B138="S. mel",44047*('DATA INPUT'!H138*'DATA INPUT'!I138)^1.5456/1000,IF('DATA INPUT'!B138="V. ref",91930*('DATA INPUT'!H138*'DATA INPUT'!I138)^1.7774/1000,IF('DATA INPUT'!B138=1,62601*('DATA INPUT'!H138*'DATA INPUT'!I138)^1.6463/1000,IF('DATA INPUT'!B138=2,5.0562*('DATA INPUT'!H138*'DATA INPUT'!I138)^0.9574,FALSE)))))</f>
        <v>0</v>
      </c>
      <c r="F134" s="18" t="b">
        <f>IF('DATA INPUT'!B138="T. ser",0.0009*I134^0.4477,IF('DATA INPUT'!B138="S. mel",0.0000004*I134^1.4912/1000,IF('DATA INPUT'!B138="V. ref",0.00000005*I134^1.6284/1000,IF('DATA INPUT'!B138=1,0.0000007*I134^1.4601/1000,IF('DATA INPUT'!B138=2,0.0009*I134^0.4477,FALSE)))))</f>
        <v>0</v>
      </c>
      <c r="G134" s="57">
        <f t="shared" si="14"/>
        <v>0</v>
      </c>
      <c r="H134" s="57"/>
      <c r="I134" s="2" t="b">
        <f>IF('DATA INPUT'!B138="T. ser",3.142*'DATA INPUT'!N138^2*'DATA INPUT'!O138/3+3.142*'DATA INPUT'!P138^2/3*(3*'DATA INPUT'!N138-'DATA INPUT'!P138),IF('DATA INPUT'!B138="S. mel",3.142*'DATA INPUT'!N138^2*'DATA INPUT'!O138/3+3.142*'DATA INPUT'!P138^2/3*(3*'DATA INPUT'!N138-'DATA INPUT'!P138),IF('DATA INPUT'!B138="V. ref",3.142*'DATA INPUT'!N138^2*'DATA INPUT'!O138/3+3.142*'DATA INPUT'!P138^2/3*(3*'DATA INPUT'!N138-'DATA INPUT'!P138),IF('DATA INPUT'!B138=1,3.142*'DATA INPUT'!N138^2*'DATA INPUT'!O138/3+3.142*'DATA INPUT'!P138^2/3*(3*'DATA INPUT'!N138-'DATA INPUT'!P138),IF('DATA INPUT'!B138=2,3.142*'DATA INPUT'!N138^2*'DATA INPUT'!O138/3+3.142*'DATA INPUT'!P138^2/3*(3*'DATA INPUT'!N138-'DATA INPUT'!P138),FALSE)))))</f>
        <v>0</v>
      </c>
      <c r="J134" s="2" t="b">
        <f>IF('DATA INPUT'!B138="T. ser",0.0458*CALCULATIONS!I134^0.6841,IF('DATA INPUT'!B138="S. mel",0.6047*CALCULATIONS!I134^0.6433,IF('DATA INPUT'!B138="V. ref",0.77086*CALCULATIONS!I134^0.4936,IF('DATA INPUT'!B138=1,0.68778*CALCULATIONS!I134^0.56845,IF('DATA INPUT'!B138=2,0.0458*CALCULATIONS!I134^0.6841,FALSE)))))</f>
        <v>0</v>
      </c>
      <c r="K134" s="3">
        <f t="shared" si="15"/>
        <v>0</v>
      </c>
      <c r="L134" s="3" t="b">
        <f>IF('DATA INPUT'!B138="T. ser",('DATA INPUT'!D138+'DATA INPUT'!F138+'DATA INPUT'!H138+'DATA INPUT'!J138)/1.5,IF('DATA INPUT'!B138="V. ref",('DATA INPUT'!D138+'DATA INPUT'!F138+'DATA INPUT'!H138+'DATA INPUT'!J138)/1.5,IF('DATA INPUT'!B138="S. mel",('DATA INPUT'!D138+'DATA INPUT'!F138+'DATA INPUT'!H138+'DATA INPUT'!J138)/1.5,IF('DATA INPUT'!B138=1,('DATA INPUT'!D138+'DATA INPUT'!F138+'DATA INPUT'!H138+'DATA INPUT'!J138)/1.5,IF('DATA INPUT'!B138=2,('DATA INPUT'!D138+'DATA INPUT'!F138+'DATA INPUT'!H138+'DATA INPUT'!J138)/1.5,FALSE)))))</f>
        <v>0</v>
      </c>
      <c r="N134" s="16">
        <f>'DATA INPUT'!C138</f>
        <v>0</v>
      </c>
      <c r="O134" s="3" t="b">
        <f>IF('DATA INPUT'!B138="T. ser",0.3446*'DATA INPUT'!D138^1.0619,IF('DATA INPUT'!B138="S. mel",(1270.6*'DATA INPUT'!D138^2.0933)/1000,IF('DATA INPUT'!B138="V. ref",(816.25*'DATA INPUT'!D138^2.1754)/1000,IF('DATA INPUT'!B138=1,(1492.4*'DATA INPUT'!D138^1.7591)/1000,IF('DATA INPUT'!B138=2,0.3446*'DATA INPUT'!D138^1.0619,FALSE)))))</f>
        <v>0</v>
      </c>
      <c r="P134" s="3" t="b">
        <f>IF('DATA INPUT'!B138="T. ser",0.3662*'DATA INPUT'!E138^1.5061,IF('DATA INPUT'!B138="S. mel",(748.47*'DATA INPUT'!E138^2.2691)/1000,IF('DATA INPUT'!B138="V. ref",(953.69*'DATA INPUT'!E138^1.9524)/1000,IF('DATA INPUT'!B138=1,(695.02*'DATA INPUT'!E138^2.3452)/1000,IF('DATA INPUT'!B138=2,0.3662*'DATA INPUT'!E138^1.5061,FALSE)))))</f>
        <v>0</v>
      </c>
      <c r="Q134" s="3" t="b">
        <f>IF('DATA INPUT'!B138="T. ser",0.1225*('DATA INPUT'!F138*'DATA INPUT'!G138)^0.8272,IF('DATA INPUT'!B138="S. mel",(925.08*('DATA INPUT'!F138*'DATA INPUT'!G138)^1.1603)/1000,IF('DATA INPUT'!B138="V. ref",(776.29*('DATA INPUT'!F138*'DATA INPUT'!G138)^1.1226)/1000,IF('DATA INPUT'!B138=1,(884.6*('DATA INPUT'!F138*'DATA INPUT'!G138)^1.129)/1000,IF('DATA INPUT'!B138=2,0.1225*('DATA INPUT'!F138*'DATA INPUT'!G138)^0.8272,FALSE)))))</f>
        <v>0</v>
      </c>
      <c r="R134" s="3" t="b">
        <f>IF('DATA INPUT'!B138="T. ser",5.5287*('DATA INPUT'!H138*'DATA INPUT'!I138)^0.8272,IF('DATA INPUT'!B138="S. mel",(31469*('DATA INPUT'!H138*'DATA INPUT'!I138)^0.8608)/1000,IF('DATA INPUT'!B138="V. ref",(39394*('DATA INPUT'!H138*'DATA INPUT'!I138)^1.005)/1000,IF('DATA INPUT'!B138=1,(31791*('DATA INPUT'!H138*'DATA INPUT'!I138)^0.8467)/1000,IF('DATA INPUT'!B138=2,5.5287*('DATA INPUT'!H138*'DATA INPUT'!I138)^0.8272,FALSE)))))</f>
        <v>0</v>
      </c>
      <c r="S134" s="3" t="b">
        <f>IF('DATA INPUT'!B138="T. ser",0.0005*I134^0.5148,IF('DATA INPUT'!B138="S. mel",0.051*I134^0.7789/1000,IF('DATA INPUT'!B138="V. ref",0.0958*I134^0.7253/1000,IF('DATA INPUT'!B138=1,0.0426*I134^0.786/1000,IF('DATA INPUT'!B138=2,0.0005*I134^0.5148,FALSE)))))</f>
        <v>0</v>
      </c>
      <c r="T134" s="59">
        <f t="shared" si="16"/>
        <v>0</v>
      </c>
    </row>
    <row r="135" spans="1:20" x14ac:dyDescent="0.2">
      <c r="A135" s="218">
        <f>'DATA INPUT'!C139</f>
        <v>0</v>
      </c>
      <c r="B135" s="11" t="b">
        <f>IF('DATA INPUT'!B139="T. ser",0.1656*'DATA INPUT'!D139^1.4655,IF('DATA INPUT'!B139="S. mel",135.53*'DATA INPUT'!D139^3.8701/1000,IF('DATA INPUT'!B139="V. ref",143.01*'DATA INPUT'!D139^3.3147/1000,IF('DATA INPUT'!B139=1,143.35*'DATA INPUT'!D139^3.6046/1000,IF('DATA INPUT'!B139=2,0.1656*'DATA INPUT'!D139^1.4655,FALSE)))))</f>
        <v>0</v>
      </c>
      <c r="C135" s="8" t="b">
        <f>IF('DATA INPUT'!B139="T. ser",0.3356*'DATA INPUT'!E139^0.9984,IF('DATA INPUT'!B139="S. mel",24.906*'DATA INPUT'!E139^4.7681/1000,IF('DATA INPUT'!B139="V. ref",118.45*'DATA INPUT'!E139^3.5959/1000,IF('DATA INPUT'!B139=1,55.075*'DATA INPUT'!E139^4.0991/1000,IF('DATA INPUT'!B139=2,0.3356*'DATA INPUT'!E139^0.9984,FALSE)))))</f>
        <v>0</v>
      </c>
      <c r="D135" s="18" t="b">
        <f>IF('DATA INPUT'!B139="T. ser",0.0615*('DATA INPUT'!F139*'DATA INPUT'!G139)^0.9573,IF('DATA INPUT'!B139="S. mel",46.162*('DATA INPUT'!F139*'DATA INPUT'!G139)^2.3652/1000,IF('DATA INPUT'!B139="V. ref",90.34*('DATA INPUT'!F139*'DATA INPUT'!G139)^1.9756/1000,IF('DATA INPUT'!B139=1,63.022*('DATA INPUT'!F139*'DATA INPUT'!G139)^2.1551/1000,IF('DATA INPUT'!B139=2,0.0615*('DATA INPUT'!F139*'DATA INPUT'!G139)^0.9573,FALSE)))))</f>
        <v>0</v>
      </c>
      <c r="E135" s="8" t="b">
        <f>IF('DATA INPUT'!B139="T. ser",5.0562*('DATA INPUT'!H139*'DATA INPUT'!I139)^0.9574,IF('DATA INPUT'!B139="S. mel",44047*('DATA INPUT'!H139*'DATA INPUT'!I139)^1.5456/1000,IF('DATA INPUT'!B139="V. ref",91930*('DATA INPUT'!H139*'DATA INPUT'!I139)^1.7774/1000,IF('DATA INPUT'!B139=1,62601*('DATA INPUT'!H139*'DATA INPUT'!I139)^1.6463/1000,IF('DATA INPUT'!B139=2,5.0562*('DATA INPUT'!H139*'DATA INPUT'!I139)^0.9574,FALSE)))))</f>
        <v>0</v>
      </c>
      <c r="F135" s="18" t="b">
        <f>IF('DATA INPUT'!B139="T. ser",0.0009*I135^0.4477,IF('DATA INPUT'!B139="S. mel",0.0000004*I135^1.4912/1000,IF('DATA INPUT'!B139="V. ref",0.00000005*I135^1.6284/1000,IF('DATA INPUT'!B139=1,0.0000007*I135^1.4601/1000,IF('DATA INPUT'!B139=2,0.0009*I135^0.4477,FALSE)))))</f>
        <v>0</v>
      </c>
      <c r="G135" s="57">
        <f t="shared" si="14"/>
        <v>0</v>
      </c>
      <c r="H135" s="57"/>
      <c r="I135" s="2" t="b">
        <f>IF('DATA INPUT'!B139="T. ser",3.142*'DATA INPUT'!N139^2*'DATA INPUT'!O139/3+3.142*'DATA INPUT'!P139^2/3*(3*'DATA INPUT'!N139-'DATA INPUT'!P139),IF('DATA INPUT'!B139="S. mel",3.142*'DATA INPUT'!N139^2*'DATA INPUT'!O139/3+3.142*'DATA INPUT'!P139^2/3*(3*'DATA INPUT'!N139-'DATA INPUT'!P139),IF('DATA INPUT'!B139="V. ref",3.142*'DATA INPUT'!N139^2*'DATA INPUT'!O139/3+3.142*'DATA INPUT'!P139^2/3*(3*'DATA INPUT'!N139-'DATA INPUT'!P139),IF('DATA INPUT'!B139=1,3.142*'DATA INPUT'!N139^2*'DATA INPUT'!O139/3+3.142*'DATA INPUT'!P139^2/3*(3*'DATA INPUT'!N139-'DATA INPUT'!P139),IF('DATA INPUT'!B139=2,3.142*'DATA INPUT'!N139^2*'DATA INPUT'!O139/3+3.142*'DATA INPUT'!P139^2/3*(3*'DATA INPUT'!N139-'DATA INPUT'!P139),FALSE)))))</f>
        <v>0</v>
      </c>
      <c r="J135" s="2" t="b">
        <f>IF('DATA INPUT'!B139="T. ser",0.0458*CALCULATIONS!I135^0.6841,IF('DATA INPUT'!B139="S. mel",0.6047*CALCULATIONS!I135^0.6433,IF('DATA INPUT'!B139="V. ref",0.77086*CALCULATIONS!I135^0.4936,IF('DATA INPUT'!B139=1,0.68778*CALCULATIONS!I135^0.56845,IF('DATA INPUT'!B139=2,0.0458*CALCULATIONS!I135^0.6841,FALSE)))))</f>
        <v>0</v>
      </c>
      <c r="K135" s="3">
        <f t="shared" si="15"/>
        <v>0</v>
      </c>
      <c r="L135" s="3" t="b">
        <f>IF('DATA INPUT'!B139="T. ser",('DATA INPUT'!D139+'DATA INPUT'!F139+'DATA INPUT'!H139+'DATA INPUT'!J139)/1.5,IF('DATA INPUT'!B139="V. ref",('DATA INPUT'!D139+'DATA INPUT'!F139+'DATA INPUT'!H139+'DATA INPUT'!J139)/1.5,IF('DATA INPUT'!B139="S. mel",('DATA INPUT'!D139+'DATA INPUT'!F139+'DATA INPUT'!H139+'DATA INPUT'!J139)/1.5,IF('DATA INPUT'!B139=1,('DATA INPUT'!D139+'DATA INPUT'!F139+'DATA INPUT'!H139+'DATA INPUT'!J139)/1.5,IF('DATA INPUT'!B139=2,('DATA INPUT'!D139+'DATA INPUT'!F139+'DATA INPUT'!H139+'DATA INPUT'!J139)/1.5,FALSE)))))</f>
        <v>0</v>
      </c>
      <c r="N135" s="16">
        <f>'DATA INPUT'!C139</f>
        <v>0</v>
      </c>
      <c r="O135" s="3" t="b">
        <f>IF('DATA INPUT'!B139="T. ser",0.3446*'DATA INPUT'!D139^1.0619,IF('DATA INPUT'!B139="S. mel",(1270.6*'DATA INPUT'!D139^2.0933)/1000,IF('DATA INPUT'!B139="V. ref",(816.25*'DATA INPUT'!D139^2.1754)/1000,IF('DATA INPUT'!B139=1,(1492.4*'DATA INPUT'!D139^1.7591)/1000,IF('DATA INPUT'!B139=2,0.3446*'DATA INPUT'!D139^1.0619,FALSE)))))</f>
        <v>0</v>
      </c>
      <c r="P135" s="3" t="b">
        <f>IF('DATA INPUT'!B139="T. ser",0.3662*'DATA INPUT'!E139^1.5061,IF('DATA INPUT'!B139="S. mel",(748.47*'DATA INPUT'!E139^2.2691)/1000,IF('DATA INPUT'!B139="V. ref",(953.69*'DATA INPUT'!E139^1.9524)/1000,IF('DATA INPUT'!B139=1,(695.02*'DATA INPUT'!E139^2.3452)/1000,IF('DATA INPUT'!B139=2,0.3662*'DATA INPUT'!E139^1.5061,FALSE)))))</f>
        <v>0</v>
      </c>
      <c r="Q135" s="3" t="b">
        <f>IF('DATA INPUT'!B139="T. ser",0.1225*('DATA INPUT'!F139*'DATA INPUT'!G139)^0.8272,IF('DATA INPUT'!B139="S. mel",(925.08*('DATA INPUT'!F139*'DATA INPUT'!G139)^1.1603)/1000,IF('DATA INPUT'!B139="V. ref",(776.29*('DATA INPUT'!F139*'DATA INPUT'!G139)^1.1226)/1000,IF('DATA INPUT'!B139=1,(884.6*('DATA INPUT'!F139*'DATA INPUT'!G139)^1.129)/1000,IF('DATA INPUT'!B139=2,0.1225*('DATA INPUT'!F139*'DATA INPUT'!G139)^0.8272,FALSE)))))</f>
        <v>0</v>
      </c>
      <c r="R135" s="3" t="b">
        <f>IF('DATA INPUT'!B139="T. ser",5.5287*('DATA INPUT'!H139*'DATA INPUT'!I139)^0.8272,IF('DATA INPUT'!B139="S. mel",(31469*('DATA INPUT'!H139*'DATA INPUT'!I139)^0.8608)/1000,IF('DATA INPUT'!B139="V. ref",(39394*('DATA INPUT'!H139*'DATA INPUT'!I139)^1.005)/1000,IF('DATA INPUT'!B139=1,(31791*('DATA INPUT'!H139*'DATA INPUT'!I139)^0.8467)/1000,IF('DATA INPUT'!B139=2,5.5287*('DATA INPUT'!H139*'DATA INPUT'!I139)^0.8272,FALSE)))))</f>
        <v>0</v>
      </c>
      <c r="S135" s="3" t="b">
        <f>IF('DATA INPUT'!B139="T. ser",0.0005*I135^0.5148,IF('DATA INPUT'!B139="S. mel",0.051*I135^0.7789/1000,IF('DATA INPUT'!B139="V. ref",0.0958*I135^0.7253/1000,IF('DATA INPUT'!B139=1,0.0426*I135^0.786/1000,IF('DATA INPUT'!B139=2,0.0005*I135^0.5148,FALSE)))))</f>
        <v>0</v>
      </c>
      <c r="T135" s="59">
        <f t="shared" si="16"/>
        <v>0</v>
      </c>
    </row>
    <row r="136" spans="1:20" x14ac:dyDescent="0.2">
      <c r="A136" s="218">
        <f>'DATA INPUT'!C140</f>
        <v>0</v>
      </c>
      <c r="B136" s="11" t="b">
        <f>IF('DATA INPUT'!B140="T. ser",0.1656*'DATA INPUT'!D140^1.4655,IF('DATA INPUT'!B140="S. mel",135.53*'DATA INPUT'!D140^3.8701/1000,IF('DATA INPUT'!B140="V. ref",143.01*'DATA INPUT'!D140^3.3147/1000,IF('DATA INPUT'!B140=1,143.35*'DATA INPUT'!D140^3.6046/1000,IF('DATA INPUT'!B140=2,0.1656*'DATA INPUT'!D140^1.4655,FALSE)))))</f>
        <v>0</v>
      </c>
      <c r="C136" s="8" t="b">
        <f>IF('DATA INPUT'!B140="T. ser",0.3356*'DATA INPUT'!E140^0.9984,IF('DATA INPUT'!B140="S. mel",24.906*'DATA INPUT'!E140^4.7681/1000,IF('DATA INPUT'!B140="V. ref",118.45*'DATA INPUT'!E140^3.5959/1000,IF('DATA INPUT'!B140=1,55.075*'DATA INPUT'!E140^4.0991/1000,IF('DATA INPUT'!B140=2,0.3356*'DATA INPUT'!E140^0.9984,FALSE)))))</f>
        <v>0</v>
      </c>
      <c r="D136" s="18" t="b">
        <f>IF('DATA INPUT'!B140="T. ser",0.0615*('DATA INPUT'!F140*'DATA INPUT'!G140)^0.9573,IF('DATA INPUT'!B140="S. mel",46.162*('DATA INPUT'!F140*'DATA INPUT'!G140)^2.3652/1000,IF('DATA INPUT'!B140="V. ref",90.34*('DATA INPUT'!F140*'DATA INPUT'!G140)^1.9756/1000,IF('DATA INPUT'!B140=1,63.022*('DATA INPUT'!F140*'DATA INPUT'!G140)^2.1551/1000,IF('DATA INPUT'!B140=2,0.0615*('DATA INPUT'!F140*'DATA INPUT'!G140)^0.9573,FALSE)))))</f>
        <v>0</v>
      </c>
      <c r="E136" s="8" t="b">
        <f>IF('DATA INPUT'!B140="T. ser",5.0562*('DATA INPUT'!H140*'DATA INPUT'!I140)^0.9574,IF('DATA INPUT'!B140="S. mel",44047*('DATA INPUT'!H140*'DATA INPUT'!I140)^1.5456/1000,IF('DATA INPUT'!B140="V. ref",91930*('DATA INPUT'!H140*'DATA INPUT'!I140)^1.7774/1000,IF('DATA INPUT'!B140=1,62601*('DATA INPUT'!H140*'DATA INPUT'!I140)^1.6463/1000,IF('DATA INPUT'!B140=2,5.0562*('DATA INPUT'!H140*'DATA INPUT'!I140)^0.9574,FALSE)))))</f>
        <v>0</v>
      </c>
      <c r="F136" s="18" t="b">
        <f>IF('DATA INPUT'!B140="T. ser",0.0009*I136^0.4477,IF('DATA INPUT'!B140="S. mel",0.0000004*I136^1.4912/1000,IF('DATA INPUT'!B140="V. ref",0.00000005*I136^1.6284/1000,IF('DATA INPUT'!B140=1,0.0000007*I136^1.4601/1000,IF('DATA INPUT'!B140=2,0.0009*I136^0.4477,FALSE)))))</f>
        <v>0</v>
      </c>
      <c r="G136" s="57">
        <f t="shared" si="14"/>
        <v>0</v>
      </c>
      <c r="H136" s="57"/>
      <c r="I136" s="2" t="b">
        <f>IF('DATA INPUT'!B140="T. ser",3.142*'DATA INPUT'!N140^2*'DATA INPUT'!O140/3+3.142*'DATA INPUT'!P140^2/3*(3*'DATA INPUT'!N140-'DATA INPUT'!P140),IF('DATA INPUT'!B140="S. mel",3.142*'DATA INPUT'!N140^2*'DATA INPUT'!O140/3+3.142*'DATA INPUT'!P140^2/3*(3*'DATA INPUT'!N140-'DATA INPUT'!P140),IF('DATA INPUT'!B140="V. ref",3.142*'DATA INPUT'!N140^2*'DATA INPUT'!O140/3+3.142*'DATA INPUT'!P140^2/3*(3*'DATA INPUT'!N140-'DATA INPUT'!P140),IF('DATA INPUT'!B140=1,3.142*'DATA INPUT'!N140^2*'DATA INPUT'!O140/3+3.142*'DATA INPUT'!P140^2/3*(3*'DATA INPUT'!N140-'DATA INPUT'!P140),IF('DATA INPUT'!B140=2,3.142*'DATA INPUT'!N140^2*'DATA INPUT'!O140/3+3.142*'DATA INPUT'!P140^2/3*(3*'DATA INPUT'!N140-'DATA INPUT'!P140),FALSE)))))</f>
        <v>0</v>
      </c>
      <c r="J136" s="2" t="b">
        <f>IF('DATA INPUT'!B140="T. ser",0.0458*CALCULATIONS!I136^0.6841,IF('DATA INPUT'!B140="S. mel",0.6047*CALCULATIONS!I136^0.6433,IF('DATA INPUT'!B140="V. ref",0.77086*CALCULATIONS!I136^0.4936,IF('DATA INPUT'!B140=1,0.68778*CALCULATIONS!I136^0.56845,IF('DATA INPUT'!B140=2,0.0458*CALCULATIONS!I136^0.6841,FALSE)))))</f>
        <v>0</v>
      </c>
      <c r="K136" s="3">
        <f t="shared" si="15"/>
        <v>0</v>
      </c>
      <c r="L136" s="3" t="b">
        <f>IF('DATA INPUT'!B140="T. ser",('DATA INPUT'!D140+'DATA INPUT'!F140+'DATA INPUT'!H140+'DATA INPUT'!J140)/1.5,IF('DATA INPUT'!B140="V. ref",('DATA INPUT'!D140+'DATA INPUT'!F140+'DATA INPUT'!H140+'DATA INPUT'!J140)/1.5,IF('DATA INPUT'!B140="S. mel",('DATA INPUT'!D140+'DATA INPUT'!F140+'DATA INPUT'!H140+'DATA INPUT'!J140)/1.5,IF('DATA INPUT'!B140=1,('DATA INPUT'!D140+'DATA INPUT'!F140+'DATA INPUT'!H140+'DATA INPUT'!J140)/1.5,IF('DATA INPUT'!B140=2,('DATA INPUT'!D140+'DATA INPUT'!F140+'DATA INPUT'!H140+'DATA INPUT'!J140)/1.5,FALSE)))))</f>
        <v>0</v>
      </c>
      <c r="N136" s="16">
        <f>'DATA INPUT'!C140</f>
        <v>0</v>
      </c>
      <c r="O136" s="3" t="b">
        <f>IF('DATA INPUT'!B140="T. ser",0.3446*'DATA INPUT'!D140^1.0619,IF('DATA INPUT'!B140="S. mel",(1270.6*'DATA INPUT'!D140^2.0933)/1000,IF('DATA INPUT'!B140="V. ref",(816.25*'DATA INPUT'!D140^2.1754)/1000,IF('DATA INPUT'!B140=1,(1492.4*'DATA INPUT'!D140^1.7591)/1000,IF('DATA INPUT'!B140=2,0.3446*'DATA INPUT'!D140^1.0619,FALSE)))))</f>
        <v>0</v>
      </c>
      <c r="P136" s="3" t="b">
        <f>IF('DATA INPUT'!B140="T. ser",0.3662*'DATA INPUT'!E140^1.5061,IF('DATA INPUT'!B140="S. mel",(748.47*'DATA INPUT'!E140^2.2691)/1000,IF('DATA INPUT'!B140="V. ref",(953.69*'DATA INPUT'!E140^1.9524)/1000,IF('DATA INPUT'!B140=1,(695.02*'DATA INPUT'!E140^2.3452)/1000,IF('DATA INPUT'!B140=2,0.3662*'DATA INPUT'!E140^1.5061,FALSE)))))</f>
        <v>0</v>
      </c>
      <c r="Q136" s="3" t="b">
        <f>IF('DATA INPUT'!B140="T. ser",0.1225*('DATA INPUT'!F140*'DATA INPUT'!G140)^0.8272,IF('DATA INPUT'!B140="S. mel",(925.08*('DATA INPUT'!F140*'DATA INPUT'!G140)^1.1603)/1000,IF('DATA INPUT'!B140="V. ref",(776.29*('DATA INPUT'!F140*'DATA INPUT'!G140)^1.1226)/1000,IF('DATA INPUT'!B140=1,(884.6*('DATA INPUT'!F140*'DATA INPUT'!G140)^1.129)/1000,IF('DATA INPUT'!B140=2,0.1225*('DATA INPUT'!F140*'DATA INPUT'!G140)^0.8272,FALSE)))))</f>
        <v>0</v>
      </c>
      <c r="R136" s="3" t="b">
        <f>IF('DATA INPUT'!B140="T. ser",5.5287*('DATA INPUT'!H140*'DATA INPUT'!I140)^0.8272,IF('DATA INPUT'!B140="S. mel",(31469*('DATA INPUT'!H140*'DATA INPUT'!I140)^0.8608)/1000,IF('DATA INPUT'!B140="V. ref",(39394*('DATA INPUT'!H140*'DATA INPUT'!I140)^1.005)/1000,IF('DATA INPUT'!B140=1,(31791*('DATA INPUT'!H140*'DATA INPUT'!I140)^0.8467)/1000,IF('DATA INPUT'!B140=2,5.5287*('DATA INPUT'!H140*'DATA INPUT'!I140)^0.8272,FALSE)))))</f>
        <v>0</v>
      </c>
      <c r="S136" s="3" t="b">
        <f>IF('DATA INPUT'!B140="T. ser",0.0005*I136^0.5148,IF('DATA INPUT'!B140="S. mel",0.051*I136^0.7789/1000,IF('DATA INPUT'!B140="V. ref",0.0958*I136^0.7253/1000,IF('DATA INPUT'!B140=1,0.0426*I136^0.786/1000,IF('DATA INPUT'!B140=2,0.0005*I136^0.5148,FALSE)))))</f>
        <v>0</v>
      </c>
      <c r="T136" s="59">
        <f t="shared" si="16"/>
        <v>0</v>
      </c>
    </row>
    <row r="137" spans="1:20" x14ac:dyDescent="0.2">
      <c r="A137" s="218">
        <f>'DATA INPUT'!C141</f>
        <v>0</v>
      </c>
      <c r="B137" s="11" t="b">
        <f>IF('DATA INPUT'!B141="T. ser",0.1656*'DATA INPUT'!D141^1.4655,IF('DATA INPUT'!B141="S. mel",135.53*'DATA INPUT'!D141^3.8701/1000,IF('DATA INPUT'!B141="V. ref",143.01*'DATA INPUT'!D141^3.3147/1000,IF('DATA INPUT'!B141=1,143.35*'DATA INPUT'!D141^3.6046/1000,IF('DATA INPUT'!B141=2,0.1656*'DATA INPUT'!D141^1.4655,FALSE)))))</f>
        <v>0</v>
      </c>
      <c r="C137" s="8" t="b">
        <f>IF('DATA INPUT'!B141="T. ser",0.3356*'DATA INPUT'!E141^0.9984,IF('DATA INPUT'!B141="S. mel",24.906*'DATA INPUT'!E141^4.7681/1000,IF('DATA INPUT'!B141="V. ref",118.45*'DATA INPUT'!E141^3.5959/1000,IF('DATA INPUT'!B141=1,55.075*'DATA INPUT'!E141^4.0991/1000,IF('DATA INPUT'!B141=2,0.3356*'DATA INPUT'!E141^0.9984,FALSE)))))</f>
        <v>0</v>
      </c>
      <c r="D137" s="18" t="b">
        <f>IF('DATA INPUT'!B141="T. ser",0.0615*('DATA INPUT'!F141*'DATA INPUT'!G141)^0.9573,IF('DATA INPUT'!B141="S. mel",46.162*('DATA INPUT'!F141*'DATA INPUT'!G141)^2.3652/1000,IF('DATA INPUT'!B141="V. ref",90.34*('DATA INPUT'!F141*'DATA INPUT'!G141)^1.9756/1000,IF('DATA INPUT'!B141=1,63.022*('DATA INPUT'!F141*'DATA INPUT'!G141)^2.1551/1000,IF('DATA INPUT'!B141=2,0.0615*('DATA INPUT'!F141*'DATA INPUT'!G141)^0.9573,FALSE)))))</f>
        <v>0</v>
      </c>
      <c r="E137" s="8" t="b">
        <f>IF('DATA INPUT'!B141="T. ser",5.0562*('DATA INPUT'!H141*'DATA INPUT'!I141)^0.9574,IF('DATA INPUT'!B141="S. mel",44047*('DATA INPUT'!H141*'DATA INPUT'!I141)^1.5456/1000,IF('DATA INPUT'!B141="V. ref",91930*('DATA INPUT'!H141*'DATA INPUT'!I141)^1.7774/1000,IF('DATA INPUT'!B141=1,62601*('DATA INPUT'!H141*'DATA INPUT'!I141)^1.6463/1000,IF('DATA INPUT'!B141=2,5.0562*('DATA INPUT'!H141*'DATA INPUT'!I141)^0.9574,FALSE)))))</f>
        <v>0</v>
      </c>
      <c r="F137" s="18" t="b">
        <f>IF('DATA INPUT'!B141="T. ser",0.0009*I137^0.4477,IF('DATA INPUT'!B141="S. mel",0.0000004*I137^1.4912/1000,IF('DATA INPUT'!B141="V. ref",0.00000005*I137^1.6284/1000,IF('DATA INPUT'!B141=1,0.0000007*I137^1.4601/1000,IF('DATA INPUT'!B141=2,0.0009*I137^0.4477,FALSE)))))</f>
        <v>0</v>
      </c>
      <c r="G137" s="57">
        <f t="shared" si="14"/>
        <v>0</v>
      </c>
      <c r="H137" s="57"/>
      <c r="I137" s="2" t="b">
        <f>IF('DATA INPUT'!B141="T. ser",3.142*'DATA INPUT'!N141^2*'DATA INPUT'!O141/3+3.142*'DATA INPUT'!P141^2/3*(3*'DATA INPUT'!N141-'DATA INPUT'!P141),IF('DATA INPUT'!B141="S. mel",3.142*'DATA INPUT'!N141^2*'DATA INPUT'!O141/3+3.142*'DATA INPUT'!P141^2/3*(3*'DATA INPUT'!N141-'DATA INPUT'!P141),IF('DATA INPUT'!B141="V. ref",3.142*'DATA INPUT'!N141^2*'DATA INPUT'!O141/3+3.142*'DATA INPUT'!P141^2/3*(3*'DATA INPUT'!N141-'DATA INPUT'!P141),IF('DATA INPUT'!B141=1,3.142*'DATA INPUT'!N141^2*'DATA INPUT'!O141/3+3.142*'DATA INPUT'!P141^2/3*(3*'DATA INPUT'!N141-'DATA INPUT'!P141),IF('DATA INPUT'!B141=2,3.142*'DATA INPUT'!N141^2*'DATA INPUT'!O141/3+3.142*'DATA INPUT'!P141^2/3*(3*'DATA INPUT'!N141-'DATA INPUT'!P141),FALSE)))))</f>
        <v>0</v>
      </c>
      <c r="J137" s="2" t="b">
        <f>IF('DATA INPUT'!B141="T. ser",0.0458*CALCULATIONS!I137^0.6841,IF('DATA INPUT'!B141="S. mel",0.6047*CALCULATIONS!I137^0.6433,IF('DATA INPUT'!B141="V. ref",0.77086*CALCULATIONS!I137^0.4936,IF('DATA INPUT'!B141=1,0.68778*CALCULATIONS!I137^0.56845,IF('DATA INPUT'!B141=2,0.0458*CALCULATIONS!I137^0.6841,FALSE)))))</f>
        <v>0</v>
      </c>
      <c r="K137" s="3">
        <f t="shared" si="15"/>
        <v>0</v>
      </c>
      <c r="L137" s="3" t="b">
        <f>IF('DATA INPUT'!B141="T. ser",('DATA INPUT'!D141+'DATA INPUT'!F141+'DATA INPUT'!H141+'DATA INPUT'!J141)/1.5,IF('DATA INPUT'!B141="V. ref",('DATA INPUT'!D141+'DATA INPUT'!F141+'DATA INPUT'!H141+'DATA INPUT'!J141)/1.5,IF('DATA INPUT'!B141="S. mel",('DATA INPUT'!D141+'DATA INPUT'!F141+'DATA INPUT'!H141+'DATA INPUT'!J141)/1.5,IF('DATA INPUT'!B141=1,('DATA INPUT'!D141+'DATA INPUT'!F141+'DATA INPUT'!H141+'DATA INPUT'!J141)/1.5,IF('DATA INPUT'!B141=2,('DATA INPUT'!D141+'DATA INPUT'!F141+'DATA INPUT'!H141+'DATA INPUT'!J141)/1.5,FALSE)))))</f>
        <v>0</v>
      </c>
      <c r="N137" s="16">
        <f>'DATA INPUT'!C141</f>
        <v>0</v>
      </c>
      <c r="O137" s="3" t="b">
        <f>IF('DATA INPUT'!B141="T. ser",0.3446*'DATA INPUT'!D141^1.0619,IF('DATA INPUT'!B141="S. mel",(1270.6*'DATA INPUT'!D141^2.0933)/1000,IF('DATA INPUT'!B141="V. ref",(816.25*'DATA INPUT'!D141^2.1754)/1000,IF('DATA INPUT'!B141=1,(1492.4*'DATA INPUT'!D141^1.7591)/1000,IF('DATA INPUT'!B141=2,0.3446*'DATA INPUT'!D141^1.0619,FALSE)))))</f>
        <v>0</v>
      </c>
      <c r="P137" s="3" t="b">
        <f>IF('DATA INPUT'!B141="T. ser",0.3662*'DATA INPUT'!E141^1.5061,IF('DATA INPUT'!B141="S. mel",(748.47*'DATA INPUT'!E141^2.2691)/1000,IF('DATA INPUT'!B141="V. ref",(953.69*'DATA INPUT'!E141^1.9524)/1000,IF('DATA INPUT'!B141=1,(695.02*'DATA INPUT'!E141^2.3452)/1000,IF('DATA INPUT'!B141=2,0.3662*'DATA INPUT'!E141^1.5061,FALSE)))))</f>
        <v>0</v>
      </c>
      <c r="Q137" s="3" t="b">
        <f>IF('DATA INPUT'!B141="T. ser",0.1225*('DATA INPUT'!F141*'DATA INPUT'!G141)^0.8272,IF('DATA INPUT'!B141="S. mel",(925.08*('DATA INPUT'!F141*'DATA INPUT'!G141)^1.1603)/1000,IF('DATA INPUT'!B141="V. ref",(776.29*('DATA INPUT'!F141*'DATA INPUT'!G141)^1.1226)/1000,IF('DATA INPUT'!B141=1,(884.6*('DATA INPUT'!F141*'DATA INPUT'!G141)^1.129)/1000,IF('DATA INPUT'!B141=2,0.1225*('DATA INPUT'!F141*'DATA INPUT'!G141)^0.8272,FALSE)))))</f>
        <v>0</v>
      </c>
      <c r="R137" s="3" t="b">
        <f>IF('DATA INPUT'!B141="T. ser",5.5287*('DATA INPUT'!H141*'DATA INPUT'!I141)^0.8272,IF('DATA INPUT'!B141="S. mel",(31469*('DATA INPUT'!H141*'DATA INPUT'!I141)^0.8608)/1000,IF('DATA INPUT'!B141="V. ref",(39394*('DATA INPUT'!H141*'DATA INPUT'!I141)^1.005)/1000,IF('DATA INPUT'!B141=1,(31791*('DATA INPUT'!H141*'DATA INPUT'!I141)^0.8467)/1000,IF('DATA INPUT'!B141=2,5.5287*('DATA INPUT'!H141*'DATA INPUT'!I141)^0.8272,FALSE)))))</f>
        <v>0</v>
      </c>
      <c r="S137" s="3" t="b">
        <f>IF('DATA INPUT'!B141="T. ser",0.0005*I137^0.5148,IF('DATA INPUT'!B141="S. mel",0.051*I137^0.7789/1000,IF('DATA INPUT'!B141="V. ref",0.0958*I137^0.7253/1000,IF('DATA INPUT'!B141=1,0.0426*I137^0.786/1000,IF('DATA INPUT'!B141=2,0.0005*I137^0.5148,FALSE)))))</f>
        <v>0</v>
      </c>
      <c r="T137" s="59">
        <f t="shared" si="16"/>
        <v>0</v>
      </c>
    </row>
    <row r="138" spans="1:20" x14ac:dyDescent="0.2">
      <c r="A138" s="218">
        <f>'DATA INPUT'!C142</f>
        <v>0</v>
      </c>
      <c r="B138" s="11" t="b">
        <f>IF('DATA INPUT'!B142="T. ser",0.1656*'DATA INPUT'!D142^1.4655,IF('DATA INPUT'!B142="S. mel",135.53*'DATA INPUT'!D142^3.8701/1000,IF('DATA INPUT'!B142="V. ref",143.01*'DATA INPUT'!D142^3.3147/1000,IF('DATA INPUT'!B142=1,143.35*'DATA INPUT'!D142^3.6046/1000,IF('DATA INPUT'!B142=2,0.1656*'DATA INPUT'!D142^1.4655,FALSE)))))</f>
        <v>0</v>
      </c>
      <c r="C138" s="8" t="b">
        <f>IF('DATA INPUT'!B142="T. ser",0.3356*'DATA INPUT'!E142^0.9984,IF('DATA INPUT'!B142="S. mel",24.906*'DATA INPUT'!E142^4.7681/1000,IF('DATA INPUT'!B142="V. ref",118.45*'DATA INPUT'!E142^3.5959/1000,IF('DATA INPUT'!B142=1,55.075*'DATA INPUT'!E142^4.0991/1000,IF('DATA INPUT'!B142=2,0.3356*'DATA INPUT'!E142^0.9984,FALSE)))))</f>
        <v>0</v>
      </c>
      <c r="D138" s="18" t="b">
        <f>IF('DATA INPUT'!B142="T. ser",0.0615*('DATA INPUT'!F142*'DATA INPUT'!G142)^0.9573,IF('DATA INPUT'!B142="S. mel",46.162*('DATA INPUT'!F142*'DATA INPUT'!G142)^2.3652/1000,IF('DATA INPUT'!B142="V. ref",90.34*('DATA INPUT'!F142*'DATA INPUT'!G142)^1.9756/1000,IF('DATA INPUT'!B142=1,63.022*('DATA INPUT'!F142*'DATA INPUT'!G142)^2.1551/1000,IF('DATA INPUT'!B142=2,0.0615*('DATA INPUT'!F142*'DATA INPUT'!G142)^0.9573,FALSE)))))</f>
        <v>0</v>
      </c>
      <c r="E138" s="8" t="b">
        <f>IF('DATA INPUT'!B142="T. ser",5.0562*('DATA INPUT'!H142*'DATA INPUT'!I142)^0.9574,IF('DATA INPUT'!B142="S. mel",44047*('DATA INPUT'!H142*'DATA INPUT'!I142)^1.5456/1000,IF('DATA INPUT'!B142="V. ref",91930*('DATA INPUT'!H142*'DATA INPUT'!I142)^1.7774/1000,IF('DATA INPUT'!B142=1,62601*('DATA INPUT'!H142*'DATA INPUT'!I142)^1.6463/1000,IF('DATA INPUT'!B142=2,5.0562*('DATA INPUT'!H142*'DATA INPUT'!I142)^0.9574,FALSE)))))</f>
        <v>0</v>
      </c>
      <c r="F138" s="18" t="b">
        <f>IF('DATA INPUT'!B142="T. ser",0.0009*I138^0.4477,IF('DATA INPUT'!B142="S. mel",0.0000004*I138^1.4912/1000,IF('DATA INPUT'!B142="V. ref",0.00000005*I138^1.6284/1000,IF('DATA INPUT'!B142=1,0.0000007*I138^1.4601/1000,IF('DATA INPUT'!B142=2,0.0009*I138^0.4477,FALSE)))))</f>
        <v>0</v>
      </c>
      <c r="G138" s="57">
        <f t="shared" si="14"/>
        <v>0</v>
      </c>
      <c r="H138" s="57"/>
      <c r="I138" s="2" t="b">
        <f>IF('DATA INPUT'!B142="T. ser",3.142*'DATA INPUT'!N142^2*'DATA INPUT'!O142/3+3.142*'DATA INPUT'!P142^2/3*(3*'DATA INPUT'!N142-'DATA INPUT'!P142),IF('DATA INPUT'!B142="S. mel",3.142*'DATA INPUT'!N142^2*'DATA INPUT'!O142/3+3.142*'DATA INPUT'!P142^2/3*(3*'DATA INPUT'!N142-'DATA INPUT'!P142),IF('DATA INPUT'!B142="V. ref",3.142*'DATA INPUT'!N142^2*'DATA INPUT'!O142/3+3.142*'DATA INPUT'!P142^2/3*(3*'DATA INPUT'!N142-'DATA INPUT'!P142),IF('DATA INPUT'!B142=1,3.142*'DATA INPUT'!N142^2*'DATA INPUT'!O142/3+3.142*'DATA INPUT'!P142^2/3*(3*'DATA INPUT'!N142-'DATA INPUT'!P142),IF('DATA INPUT'!B142=2,3.142*'DATA INPUT'!N142^2*'DATA INPUT'!O142/3+3.142*'DATA INPUT'!P142^2/3*(3*'DATA INPUT'!N142-'DATA INPUT'!P142),FALSE)))))</f>
        <v>0</v>
      </c>
      <c r="J138" s="2" t="b">
        <f>IF('DATA INPUT'!B142="T. ser",0.0458*CALCULATIONS!I138^0.6841,IF('DATA INPUT'!B142="S. mel",0.6047*CALCULATIONS!I138^0.6433,IF('DATA INPUT'!B142="V. ref",0.77086*CALCULATIONS!I138^0.4936,IF('DATA INPUT'!B142=1,0.68778*CALCULATIONS!I138^0.56845,IF('DATA INPUT'!B142=2,0.0458*CALCULATIONS!I138^0.6841,FALSE)))))</f>
        <v>0</v>
      </c>
      <c r="K138" s="3">
        <f t="shared" si="15"/>
        <v>0</v>
      </c>
      <c r="L138" s="3" t="b">
        <f>IF('DATA INPUT'!B142="T. ser",('DATA INPUT'!D142+'DATA INPUT'!F142+'DATA INPUT'!H142+'DATA INPUT'!J142)/1.5,IF('DATA INPUT'!B142="V. ref",('DATA INPUT'!D142+'DATA INPUT'!F142+'DATA INPUT'!H142+'DATA INPUT'!J142)/1.5,IF('DATA INPUT'!B142="S. mel",('DATA INPUT'!D142+'DATA INPUT'!F142+'DATA INPUT'!H142+'DATA INPUT'!J142)/1.5,IF('DATA INPUT'!B142=1,('DATA INPUT'!D142+'DATA INPUT'!F142+'DATA INPUT'!H142+'DATA INPUT'!J142)/1.5,IF('DATA INPUT'!B142=2,('DATA INPUT'!D142+'DATA INPUT'!F142+'DATA INPUT'!H142+'DATA INPUT'!J142)/1.5,FALSE)))))</f>
        <v>0</v>
      </c>
      <c r="N138" s="16">
        <f>'DATA INPUT'!C142</f>
        <v>0</v>
      </c>
      <c r="O138" s="3" t="b">
        <f>IF('DATA INPUT'!B142="T. ser",0.3446*'DATA INPUT'!D142^1.0619,IF('DATA INPUT'!B142="S. mel",(1270.6*'DATA INPUT'!D142^2.0933)/1000,IF('DATA INPUT'!B142="V. ref",(816.25*'DATA INPUT'!D142^2.1754)/1000,IF('DATA INPUT'!B142=1,(1492.4*'DATA INPUT'!D142^1.7591)/1000,IF('DATA INPUT'!B142=2,0.3446*'DATA INPUT'!D142^1.0619,FALSE)))))</f>
        <v>0</v>
      </c>
      <c r="P138" s="3" t="b">
        <f>IF('DATA INPUT'!B142="T. ser",0.3662*'DATA INPUT'!E142^1.5061,IF('DATA INPUT'!B142="S. mel",(748.47*'DATA INPUT'!E142^2.2691)/1000,IF('DATA INPUT'!B142="V. ref",(953.69*'DATA INPUT'!E142^1.9524)/1000,IF('DATA INPUT'!B142=1,(695.02*'DATA INPUT'!E142^2.3452)/1000,IF('DATA INPUT'!B142=2,0.3662*'DATA INPUT'!E142^1.5061,FALSE)))))</f>
        <v>0</v>
      </c>
      <c r="Q138" s="3" t="b">
        <f>IF('DATA INPUT'!B142="T. ser",0.1225*('DATA INPUT'!F142*'DATA INPUT'!G142)^0.8272,IF('DATA INPUT'!B142="S. mel",(925.08*('DATA INPUT'!F142*'DATA INPUT'!G142)^1.1603)/1000,IF('DATA INPUT'!B142="V. ref",(776.29*('DATA INPUT'!F142*'DATA INPUT'!G142)^1.1226)/1000,IF('DATA INPUT'!B142=1,(884.6*('DATA INPUT'!F142*'DATA INPUT'!G142)^1.129)/1000,IF('DATA INPUT'!B142=2,0.1225*('DATA INPUT'!F142*'DATA INPUT'!G142)^0.8272,FALSE)))))</f>
        <v>0</v>
      </c>
      <c r="R138" s="3" t="b">
        <f>IF('DATA INPUT'!B142="T. ser",5.5287*('DATA INPUT'!H142*'DATA INPUT'!I142)^0.8272,IF('DATA INPUT'!B142="S. mel",(31469*('DATA INPUT'!H142*'DATA INPUT'!I142)^0.8608)/1000,IF('DATA INPUT'!B142="V. ref",(39394*('DATA INPUT'!H142*'DATA INPUT'!I142)^1.005)/1000,IF('DATA INPUT'!B142=1,(31791*('DATA INPUT'!H142*'DATA INPUT'!I142)^0.8467)/1000,IF('DATA INPUT'!B142=2,5.5287*('DATA INPUT'!H142*'DATA INPUT'!I142)^0.8272,FALSE)))))</f>
        <v>0</v>
      </c>
      <c r="S138" s="3" t="b">
        <f>IF('DATA INPUT'!B142="T. ser",0.0005*I138^0.5148,IF('DATA INPUT'!B142="S. mel",0.051*I138^0.7789/1000,IF('DATA INPUT'!B142="V. ref",0.0958*I138^0.7253/1000,IF('DATA INPUT'!B142=1,0.0426*I138^0.786/1000,IF('DATA INPUT'!B142=2,0.0005*I138^0.5148,FALSE)))))</f>
        <v>0</v>
      </c>
      <c r="T138" s="59">
        <f t="shared" si="16"/>
        <v>0</v>
      </c>
    </row>
    <row r="139" spans="1:20" x14ac:dyDescent="0.2">
      <c r="A139" s="218">
        <f>'DATA INPUT'!C143</f>
        <v>0</v>
      </c>
      <c r="B139" s="11" t="b">
        <f>IF('DATA INPUT'!B143="T. ser",0.1656*'DATA INPUT'!D143^1.4655,IF('DATA INPUT'!B143="S. mel",135.53*'DATA INPUT'!D143^3.8701/1000,IF('DATA INPUT'!B143="V. ref",143.01*'DATA INPUT'!D143^3.3147/1000,IF('DATA INPUT'!B143=1,143.35*'DATA INPUT'!D143^3.6046/1000,IF('DATA INPUT'!B143=2,0.1656*'DATA INPUT'!D143^1.4655,FALSE)))))</f>
        <v>0</v>
      </c>
      <c r="C139" s="8" t="b">
        <f>IF('DATA INPUT'!B143="T. ser",0.3356*'DATA INPUT'!E143^0.9984,IF('DATA INPUT'!B143="S. mel",24.906*'DATA INPUT'!E143^4.7681/1000,IF('DATA INPUT'!B143="V. ref",118.45*'DATA INPUT'!E143^3.5959/1000,IF('DATA INPUT'!B143=1,55.075*'DATA INPUT'!E143^4.0991/1000,IF('DATA INPUT'!B143=2,0.3356*'DATA INPUT'!E143^0.9984,FALSE)))))</f>
        <v>0</v>
      </c>
      <c r="D139" s="18" t="b">
        <f>IF('DATA INPUT'!B143="T. ser",0.0615*('DATA INPUT'!F143*'DATA INPUT'!G143)^0.9573,IF('DATA INPUT'!B143="S. mel",46.162*('DATA INPUT'!F143*'DATA INPUT'!G143)^2.3652/1000,IF('DATA INPUT'!B143="V. ref",90.34*('DATA INPUT'!F143*'DATA INPUT'!G143)^1.9756/1000,IF('DATA INPUT'!B143=1,63.022*('DATA INPUT'!F143*'DATA INPUT'!G143)^2.1551/1000,IF('DATA INPUT'!B143=2,0.0615*('DATA INPUT'!F143*'DATA INPUT'!G143)^0.9573,FALSE)))))</f>
        <v>0</v>
      </c>
      <c r="E139" s="8" t="b">
        <f>IF('DATA INPUT'!B143="T. ser",5.0562*('DATA INPUT'!H143*'DATA INPUT'!I143)^0.9574,IF('DATA INPUT'!B143="S. mel",44047*('DATA INPUT'!H143*'DATA INPUT'!I143)^1.5456/1000,IF('DATA INPUT'!B143="V. ref",91930*('DATA INPUT'!H143*'DATA INPUT'!I143)^1.7774/1000,IF('DATA INPUT'!B143=1,62601*('DATA INPUT'!H143*'DATA INPUT'!I143)^1.6463/1000,IF('DATA INPUT'!B143=2,5.0562*('DATA INPUT'!H143*'DATA INPUT'!I143)^0.9574,FALSE)))))</f>
        <v>0</v>
      </c>
      <c r="F139" s="18" t="b">
        <f>IF('DATA INPUT'!B143="T. ser",0.0009*I139^0.4477,IF('DATA INPUT'!B143="S. mel",0.0000004*I139^1.4912/1000,IF('DATA INPUT'!B143="V. ref",0.00000005*I139^1.6284/1000,IF('DATA INPUT'!B143=1,0.0000007*I139^1.4601/1000,IF('DATA INPUT'!B143=2,0.0009*I139^0.4477,FALSE)))))</f>
        <v>0</v>
      </c>
      <c r="G139" s="57">
        <f t="shared" si="14"/>
        <v>0</v>
      </c>
      <c r="H139" s="57"/>
      <c r="I139" s="2" t="b">
        <f>IF('DATA INPUT'!B143="T. ser",3.142*'DATA INPUT'!N143^2*'DATA INPUT'!O143/3+3.142*'DATA INPUT'!P143^2/3*(3*'DATA INPUT'!N143-'DATA INPUT'!P143),IF('DATA INPUT'!B143="S. mel",3.142*'DATA INPUT'!N143^2*'DATA INPUT'!O143/3+3.142*'DATA INPUT'!P143^2/3*(3*'DATA INPUT'!N143-'DATA INPUT'!P143),IF('DATA INPUT'!B143="V. ref",3.142*'DATA INPUT'!N143^2*'DATA INPUT'!O143/3+3.142*'DATA INPUT'!P143^2/3*(3*'DATA INPUT'!N143-'DATA INPUT'!P143),IF('DATA INPUT'!B143=1,3.142*'DATA INPUT'!N143^2*'DATA INPUT'!O143/3+3.142*'DATA INPUT'!P143^2/3*(3*'DATA INPUT'!N143-'DATA INPUT'!P143),IF('DATA INPUT'!B143=2,3.142*'DATA INPUT'!N143^2*'DATA INPUT'!O143/3+3.142*'DATA INPUT'!P143^2/3*(3*'DATA INPUT'!N143-'DATA INPUT'!P143),FALSE)))))</f>
        <v>0</v>
      </c>
      <c r="J139" s="2" t="b">
        <f>IF('DATA INPUT'!B143="T. ser",0.0458*CALCULATIONS!I139^0.6841,IF('DATA INPUT'!B143="S. mel",0.6047*CALCULATIONS!I139^0.6433,IF('DATA INPUT'!B143="V. ref",0.77086*CALCULATIONS!I139^0.4936,IF('DATA INPUT'!B143=1,0.68778*CALCULATIONS!I139^0.56845,IF('DATA INPUT'!B143=2,0.0458*CALCULATIONS!I139^0.6841,FALSE)))))</f>
        <v>0</v>
      </c>
      <c r="K139" s="3">
        <f t="shared" si="15"/>
        <v>0</v>
      </c>
      <c r="L139" s="3" t="b">
        <f>IF('DATA INPUT'!B143="T. ser",('DATA INPUT'!D143+'DATA INPUT'!F143+'DATA INPUT'!H143+'DATA INPUT'!J143)/1.5,IF('DATA INPUT'!B143="V. ref",('DATA INPUT'!D143+'DATA INPUT'!F143+'DATA INPUT'!H143+'DATA INPUT'!J143)/1.5,IF('DATA INPUT'!B143="S. mel",('DATA INPUT'!D143+'DATA INPUT'!F143+'DATA INPUT'!H143+'DATA INPUT'!J143)/1.5,IF('DATA INPUT'!B143=1,('DATA INPUT'!D143+'DATA INPUT'!F143+'DATA INPUT'!H143+'DATA INPUT'!J143)/1.5,IF('DATA INPUT'!B143=2,('DATA INPUT'!D143+'DATA INPUT'!F143+'DATA INPUT'!H143+'DATA INPUT'!J143)/1.5,FALSE)))))</f>
        <v>0</v>
      </c>
      <c r="N139" s="16">
        <f>'DATA INPUT'!C143</f>
        <v>0</v>
      </c>
      <c r="O139" s="3" t="b">
        <f>IF('DATA INPUT'!B143="T. ser",0.3446*'DATA INPUT'!D143^1.0619,IF('DATA INPUT'!B143="S. mel",(1270.6*'DATA INPUT'!D143^2.0933)/1000,IF('DATA INPUT'!B143="V. ref",(816.25*'DATA INPUT'!D143^2.1754)/1000,IF('DATA INPUT'!B143=1,(1492.4*'DATA INPUT'!D143^1.7591)/1000,IF('DATA INPUT'!B143=2,0.3446*'DATA INPUT'!D143^1.0619,FALSE)))))</f>
        <v>0</v>
      </c>
      <c r="P139" s="3" t="b">
        <f>IF('DATA INPUT'!B143="T. ser",0.3662*'DATA INPUT'!E143^1.5061,IF('DATA INPUT'!B143="S. mel",(748.47*'DATA INPUT'!E143^2.2691)/1000,IF('DATA INPUT'!B143="V. ref",(953.69*'DATA INPUT'!E143^1.9524)/1000,IF('DATA INPUT'!B143=1,(695.02*'DATA INPUT'!E143^2.3452)/1000,IF('DATA INPUT'!B143=2,0.3662*'DATA INPUT'!E143^1.5061,FALSE)))))</f>
        <v>0</v>
      </c>
      <c r="Q139" s="3" t="b">
        <f>IF('DATA INPUT'!B143="T. ser",0.1225*('DATA INPUT'!F143*'DATA INPUT'!G143)^0.8272,IF('DATA INPUT'!B143="S. mel",(925.08*('DATA INPUT'!F143*'DATA INPUT'!G143)^1.1603)/1000,IF('DATA INPUT'!B143="V. ref",(776.29*('DATA INPUT'!F143*'DATA INPUT'!G143)^1.1226)/1000,IF('DATA INPUT'!B143=1,(884.6*('DATA INPUT'!F143*'DATA INPUT'!G143)^1.129)/1000,IF('DATA INPUT'!B143=2,0.1225*('DATA INPUT'!F143*'DATA INPUT'!G143)^0.8272,FALSE)))))</f>
        <v>0</v>
      </c>
      <c r="R139" s="3" t="b">
        <f>IF('DATA INPUT'!B143="T. ser",5.5287*('DATA INPUT'!H143*'DATA INPUT'!I143)^0.8272,IF('DATA INPUT'!B143="S. mel",(31469*('DATA INPUT'!H143*'DATA INPUT'!I143)^0.8608)/1000,IF('DATA INPUT'!B143="V. ref",(39394*('DATA INPUT'!H143*'DATA INPUT'!I143)^1.005)/1000,IF('DATA INPUT'!B143=1,(31791*('DATA INPUT'!H143*'DATA INPUT'!I143)^0.8467)/1000,IF('DATA INPUT'!B143=2,5.5287*('DATA INPUT'!H143*'DATA INPUT'!I143)^0.8272,FALSE)))))</f>
        <v>0</v>
      </c>
      <c r="S139" s="3" t="b">
        <f>IF('DATA INPUT'!B143="T. ser",0.0005*I139^0.5148,IF('DATA INPUT'!B143="S. mel",0.051*I139^0.7789/1000,IF('DATA INPUT'!B143="V. ref",0.0958*I139^0.7253/1000,IF('DATA INPUT'!B143=1,0.0426*I139^0.786/1000,IF('DATA INPUT'!B143=2,0.0005*I139^0.5148,FALSE)))))</f>
        <v>0</v>
      </c>
      <c r="T139" s="59">
        <f t="shared" si="16"/>
        <v>0</v>
      </c>
    </row>
    <row r="140" spans="1:20" x14ac:dyDescent="0.2">
      <c r="A140" s="218">
        <f>'DATA INPUT'!C144</f>
        <v>0</v>
      </c>
      <c r="B140" s="11" t="b">
        <f>IF('DATA INPUT'!B144="T. ser",0.1656*'DATA INPUT'!D144^1.4655,IF('DATA INPUT'!B144="S. mel",135.53*'DATA INPUT'!D144^3.8701/1000,IF('DATA INPUT'!B144="V. ref",143.01*'DATA INPUT'!D144^3.3147/1000,IF('DATA INPUT'!B144=1,143.35*'DATA INPUT'!D144^3.6046/1000,IF('DATA INPUT'!B144=2,0.1656*'DATA INPUT'!D144^1.4655,FALSE)))))</f>
        <v>0</v>
      </c>
      <c r="C140" s="8" t="b">
        <f>IF('DATA INPUT'!B144="T. ser",0.3356*'DATA INPUT'!E144^0.9984,IF('DATA INPUT'!B144="S. mel",24.906*'DATA INPUT'!E144^4.7681/1000,IF('DATA INPUT'!B144="V. ref",118.45*'DATA INPUT'!E144^3.5959/1000,IF('DATA INPUT'!B144=1,55.075*'DATA INPUT'!E144^4.0991/1000,IF('DATA INPUT'!B144=2,0.3356*'DATA INPUT'!E144^0.9984,FALSE)))))</f>
        <v>0</v>
      </c>
      <c r="D140" s="18" t="b">
        <f>IF('DATA INPUT'!B144="T. ser",0.0615*('DATA INPUT'!F144*'DATA INPUT'!G144)^0.9573,IF('DATA INPUT'!B144="S. mel",46.162*('DATA INPUT'!F144*'DATA INPUT'!G144)^2.3652/1000,IF('DATA INPUT'!B144="V. ref",90.34*('DATA INPUT'!F144*'DATA INPUT'!G144)^1.9756/1000,IF('DATA INPUT'!B144=1,63.022*('DATA INPUT'!F144*'DATA INPUT'!G144)^2.1551/1000,IF('DATA INPUT'!B144=2,0.0615*('DATA INPUT'!F144*'DATA INPUT'!G144)^0.9573,FALSE)))))</f>
        <v>0</v>
      </c>
      <c r="E140" s="8" t="b">
        <f>IF('DATA INPUT'!B144="T. ser",5.0562*('DATA INPUT'!H144*'DATA INPUT'!I144)^0.9574,IF('DATA INPUT'!B144="S. mel",44047*('DATA INPUT'!H144*'DATA INPUT'!I144)^1.5456/1000,IF('DATA INPUT'!B144="V. ref",91930*('DATA INPUT'!H144*'DATA INPUT'!I144)^1.7774/1000,IF('DATA INPUT'!B144=1,62601*('DATA INPUT'!H144*'DATA INPUT'!I144)^1.6463/1000,IF('DATA INPUT'!B144=2,5.0562*('DATA INPUT'!H144*'DATA INPUT'!I144)^0.9574,FALSE)))))</f>
        <v>0</v>
      </c>
      <c r="F140" s="18" t="b">
        <f>IF('DATA INPUT'!B144="T. ser",0.0009*I140^0.4477,IF('DATA INPUT'!B144="S. mel",0.0000004*I140^1.4912/1000,IF('DATA INPUT'!B144="V. ref",0.00000005*I140^1.6284/1000,IF('DATA INPUT'!B144=1,0.0000007*I140^1.4601/1000,IF('DATA INPUT'!B144=2,0.0009*I140^0.4477,FALSE)))))</f>
        <v>0</v>
      </c>
      <c r="G140" s="57">
        <f t="shared" si="14"/>
        <v>0</v>
      </c>
      <c r="H140" s="57"/>
      <c r="I140" s="2" t="b">
        <f>IF('DATA INPUT'!B144="T. ser",3.142*'DATA INPUT'!N144^2*'DATA INPUT'!O144/3+3.142*'DATA INPUT'!P144^2/3*(3*'DATA INPUT'!N144-'DATA INPUT'!P144),IF('DATA INPUT'!B144="S. mel",3.142*'DATA INPUT'!N144^2*'DATA INPUT'!O144/3+3.142*'DATA INPUT'!P144^2/3*(3*'DATA INPUT'!N144-'DATA INPUT'!P144),IF('DATA INPUT'!B144="V. ref",3.142*'DATA INPUT'!N144^2*'DATA INPUT'!O144/3+3.142*'DATA INPUT'!P144^2/3*(3*'DATA INPUT'!N144-'DATA INPUT'!P144),IF('DATA INPUT'!B144=1,3.142*'DATA INPUT'!N144^2*'DATA INPUT'!O144/3+3.142*'DATA INPUT'!P144^2/3*(3*'DATA INPUT'!N144-'DATA INPUT'!P144),IF('DATA INPUT'!B144=2,3.142*'DATA INPUT'!N144^2*'DATA INPUT'!O144/3+3.142*'DATA INPUT'!P144^2/3*(3*'DATA INPUT'!N144-'DATA INPUT'!P144),FALSE)))))</f>
        <v>0</v>
      </c>
      <c r="J140" s="2" t="b">
        <f>IF('DATA INPUT'!B144="T. ser",0.0458*CALCULATIONS!I140^0.6841,IF('DATA INPUT'!B144="S. mel",0.6047*CALCULATIONS!I140^0.6433,IF('DATA INPUT'!B144="V. ref",0.77086*CALCULATIONS!I140^0.4936,IF('DATA INPUT'!B144=1,0.68778*CALCULATIONS!I140^0.56845,IF('DATA INPUT'!B144=2,0.0458*CALCULATIONS!I140^0.6841,FALSE)))))</f>
        <v>0</v>
      </c>
      <c r="K140" s="3">
        <f t="shared" si="15"/>
        <v>0</v>
      </c>
      <c r="L140" s="3" t="b">
        <f>IF('DATA INPUT'!B144="T. ser",('DATA INPUT'!D144+'DATA INPUT'!F144+'DATA INPUT'!H144+'DATA INPUT'!J144)/1.5,IF('DATA INPUT'!B144="V. ref",('DATA INPUT'!D144+'DATA INPUT'!F144+'DATA INPUT'!H144+'DATA INPUT'!J144)/1.5,IF('DATA INPUT'!B144="S. mel",('DATA INPUT'!D144+'DATA INPUT'!F144+'DATA INPUT'!H144+'DATA INPUT'!J144)/1.5,IF('DATA INPUT'!B144=1,('DATA INPUT'!D144+'DATA INPUT'!F144+'DATA INPUT'!H144+'DATA INPUT'!J144)/1.5,IF('DATA INPUT'!B144=2,('DATA INPUT'!D144+'DATA INPUT'!F144+'DATA INPUT'!H144+'DATA INPUT'!J144)/1.5,FALSE)))))</f>
        <v>0</v>
      </c>
      <c r="N140" s="16">
        <f>'DATA INPUT'!C144</f>
        <v>0</v>
      </c>
      <c r="O140" s="3" t="b">
        <f>IF('DATA INPUT'!B144="T. ser",0.3446*'DATA INPUT'!D144^1.0619,IF('DATA INPUT'!B144="S. mel",(1270.6*'DATA INPUT'!D144^2.0933)/1000,IF('DATA INPUT'!B144="V. ref",(816.25*'DATA INPUT'!D144^2.1754)/1000,IF('DATA INPUT'!B144=1,(1492.4*'DATA INPUT'!D144^1.7591)/1000,IF('DATA INPUT'!B144=2,0.3446*'DATA INPUT'!D144^1.0619,FALSE)))))</f>
        <v>0</v>
      </c>
      <c r="P140" s="3" t="b">
        <f>IF('DATA INPUT'!B144="T. ser",0.3662*'DATA INPUT'!E144^1.5061,IF('DATA INPUT'!B144="S. mel",(748.47*'DATA INPUT'!E144^2.2691)/1000,IF('DATA INPUT'!B144="V. ref",(953.69*'DATA INPUT'!E144^1.9524)/1000,IF('DATA INPUT'!B144=1,(695.02*'DATA INPUT'!E144^2.3452)/1000,IF('DATA INPUT'!B144=2,0.3662*'DATA INPUT'!E144^1.5061,FALSE)))))</f>
        <v>0</v>
      </c>
      <c r="Q140" s="3" t="b">
        <f>IF('DATA INPUT'!B144="T. ser",0.1225*('DATA INPUT'!F144*'DATA INPUT'!G144)^0.8272,IF('DATA INPUT'!B144="S. mel",(925.08*('DATA INPUT'!F144*'DATA INPUT'!G144)^1.1603)/1000,IF('DATA INPUT'!B144="V. ref",(776.29*('DATA INPUT'!F144*'DATA INPUT'!G144)^1.1226)/1000,IF('DATA INPUT'!B144=1,(884.6*('DATA INPUT'!F144*'DATA INPUT'!G144)^1.129)/1000,IF('DATA INPUT'!B144=2,0.1225*('DATA INPUT'!F144*'DATA INPUT'!G144)^0.8272,FALSE)))))</f>
        <v>0</v>
      </c>
      <c r="R140" s="3" t="b">
        <f>IF('DATA INPUT'!B144="T. ser",5.5287*('DATA INPUT'!H144*'DATA INPUT'!I144)^0.8272,IF('DATA INPUT'!B144="S. mel",(31469*('DATA INPUT'!H144*'DATA INPUT'!I144)^0.8608)/1000,IF('DATA INPUT'!B144="V. ref",(39394*('DATA INPUT'!H144*'DATA INPUT'!I144)^1.005)/1000,IF('DATA INPUT'!B144=1,(31791*('DATA INPUT'!H144*'DATA INPUT'!I144)^0.8467)/1000,IF('DATA INPUT'!B144=2,5.5287*('DATA INPUT'!H144*'DATA INPUT'!I144)^0.8272,FALSE)))))</f>
        <v>0</v>
      </c>
      <c r="S140" s="3" t="b">
        <f>IF('DATA INPUT'!B144="T. ser",0.0005*I140^0.5148,IF('DATA INPUT'!B144="S. mel",0.051*I140^0.7789/1000,IF('DATA INPUT'!B144="V. ref",0.0958*I140^0.7253/1000,IF('DATA INPUT'!B144=1,0.0426*I140^0.786/1000,IF('DATA INPUT'!B144=2,0.0005*I140^0.5148,FALSE)))))</f>
        <v>0</v>
      </c>
      <c r="T140" s="59">
        <f t="shared" si="16"/>
        <v>0</v>
      </c>
    </row>
    <row r="141" spans="1:20" x14ac:dyDescent="0.2">
      <c r="A141" s="218">
        <f>'DATA INPUT'!C145</f>
        <v>0</v>
      </c>
      <c r="B141" s="11" t="b">
        <f>IF('DATA INPUT'!B145="T. ser",0.1656*'DATA INPUT'!D145^1.4655,IF('DATA INPUT'!B145="S. mel",135.53*'DATA INPUT'!D145^3.8701/1000,IF('DATA INPUT'!B145="V. ref",143.01*'DATA INPUT'!D145^3.3147/1000,IF('DATA INPUT'!B145=1,143.35*'DATA INPUT'!D145^3.6046/1000,IF('DATA INPUT'!B145=2,0.1656*'DATA INPUT'!D145^1.4655,FALSE)))))</f>
        <v>0</v>
      </c>
      <c r="C141" s="8" t="b">
        <f>IF('DATA INPUT'!B145="T. ser",0.3356*'DATA INPUT'!E145^0.9984,IF('DATA INPUT'!B145="S. mel",24.906*'DATA INPUT'!E145^4.7681/1000,IF('DATA INPUT'!B145="V. ref",118.45*'DATA INPUT'!E145^3.5959/1000,IF('DATA INPUT'!B145=1,55.075*'DATA INPUT'!E145^4.0991/1000,IF('DATA INPUT'!B145=2,0.3356*'DATA INPUT'!E145^0.9984,FALSE)))))</f>
        <v>0</v>
      </c>
      <c r="D141" s="18" t="b">
        <f>IF('DATA INPUT'!B145="T. ser",0.0615*('DATA INPUT'!F145*'DATA INPUT'!G145)^0.9573,IF('DATA INPUT'!B145="S. mel",46.162*('DATA INPUT'!F145*'DATA INPUT'!G145)^2.3652/1000,IF('DATA INPUT'!B145="V. ref",90.34*('DATA INPUT'!F145*'DATA INPUT'!G145)^1.9756/1000,IF('DATA INPUT'!B145=1,63.022*('DATA INPUT'!F145*'DATA INPUT'!G145)^2.1551/1000,IF('DATA INPUT'!B145=2,0.0615*('DATA INPUT'!F145*'DATA INPUT'!G145)^0.9573,FALSE)))))</f>
        <v>0</v>
      </c>
      <c r="E141" s="8" t="b">
        <f>IF('DATA INPUT'!B145="T. ser",5.0562*('DATA INPUT'!H145*'DATA INPUT'!I145)^0.9574,IF('DATA INPUT'!B145="S. mel",44047*('DATA INPUT'!H145*'DATA INPUT'!I145)^1.5456/1000,IF('DATA INPUT'!B145="V. ref",91930*('DATA INPUT'!H145*'DATA INPUT'!I145)^1.7774/1000,IF('DATA INPUT'!B145=1,62601*('DATA INPUT'!H145*'DATA INPUT'!I145)^1.6463/1000,IF('DATA INPUT'!B145=2,5.0562*('DATA INPUT'!H145*'DATA INPUT'!I145)^0.9574,FALSE)))))</f>
        <v>0</v>
      </c>
      <c r="F141" s="18" t="b">
        <f>IF('DATA INPUT'!B145="T. ser",0.0009*I141^0.4477,IF('DATA INPUT'!B145="S. mel",0.0000004*I141^1.4912/1000,IF('DATA INPUT'!B145="V. ref",0.00000005*I141^1.6284/1000,IF('DATA INPUT'!B145=1,0.0000007*I141^1.4601/1000,IF('DATA INPUT'!B145=2,0.0009*I141^0.4477,FALSE)))))</f>
        <v>0</v>
      </c>
      <c r="G141" s="57">
        <f t="shared" si="14"/>
        <v>0</v>
      </c>
      <c r="H141" s="57"/>
      <c r="I141" s="2" t="b">
        <f>IF('DATA INPUT'!B145="T. ser",3.142*'DATA INPUT'!N145^2*'DATA INPUT'!O145/3+3.142*'DATA INPUT'!P145^2/3*(3*'DATA INPUT'!N145-'DATA INPUT'!P145),IF('DATA INPUT'!B145="S. mel",3.142*'DATA INPUT'!N145^2*'DATA INPUT'!O145/3+3.142*'DATA INPUT'!P145^2/3*(3*'DATA INPUT'!N145-'DATA INPUT'!P145),IF('DATA INPUT'!B145="V. ref",3.142*'DATA INPUT'!N145^2*'DATA INPUT'!O145/3+3.142*'DATA INPUT'!P145^2/3*(3*'DATA INPUT'!N145-'DATA INPUT'!P145),IF('DATA INPUT'!B145=1,3.142*'DATA INPUT'!N145^2*'DATA INPUT'!O145/3+3.142*'DATA INPUT'!P145^2/3*(3*'DATA INPUT'!N145-'DATA INPUT'!P145),IF('DATA INPUT'!B145=2,3.142*'DATA INPUT'!N145^2*'DATA INPUT'!O145/3+3.142*'DATA INPUT'!P145^2/3*(3*'DATA INPUT'!N145-'DATA INPUT'!P145),FALSE)))))</f>
        <v>0</v>
      </c>
      <c r="J141" s="2" t="b">
        <f>IF('DATA INPUT'!B145="T. ser",0.0458*CALCULATIONS!I141^0.6841,IF('DATA INPUT'!B145="S. mel",0.6047*CALCULATIONS!I141^0.6433,IF('DATA INPUT'!B145="V. ref",0.77086*CALCULATIONS!I141^0.4936,IF('DATA INPUT'!B145=1,0.68778*CALCULATIONS!I141^0.56845,IF('DATA INPUT'!B145=2,0.0458*CALCULATIONS!I141^0.6841,FALSE)))))</f>
        <v>0</v>
      </c>
      <c r="K141" s="3">
        <f t="shared" si="15"/>
        <v>0</v>
      </c>
      <c r="L141" s="3" t="b">
        <f>IF('DATA INPUT'!B145="T. ser",('DATA INPUT'!D145+'DATA INPUT'!F145+'DATA INPUT'!H145+'DATA INPUT'!J145)/1.5,IF('DATA INPUT'!B145="V. ref",('DATA INPUT'!D145+'DATA INPUT'!F145+'DATA INPUT'!H145+'DATA INPUT'!J145)/1.5,IF('DATA INPUT'!B145="S. mel",('DATA INPUT'!D145+'DATA INPUT'!F145+'DATA INPUT'!H145+'DATA INPUT'!J145)/1.5,IF('DATA INPUT'!B145=1,('DATA INPUT'!D145+'DATA INPUT'!F145+'DATA INPUT'!H145+'DATA INPUT'!J145)/1.5,IF('DATA INPUT'!B145=2,('DATA INPUT'!D145+'DATA INPUT'!F145+'DATA INPUT'!H145+'DATA INPUT'!J145)/1.5,FALSE)))))</f>
        <v>0</v>
      </c>
      <c r="N141" s="16">
        <f>'DATA INPUT'!C145</f>
        <v>0</v>
      </c>
      <c r="O141" s="3" t="b">
        <f>IF('DATA INPUT'!B145="T. ser",0.3446*'DATA INPUT'!D145^1.0619,IF('DATA INPUT'!B145="S. mel",(1270.6*'DATA INPUT'!D145^2.0933)/1000,IF('DATA INPUT'!B145="V. ref",(816.25*'DATA INPUT'!D145^2.1754)/1000,IF('DATA INPUT'!B145=1,(1492.4*'DATA INPUT'!D145^1.7591)/1000,IF('DATA INPUT'!B145=2,0.3446*'DATA INPUT'!D145^1.0619,FALSE)))))</f>
        <v>0</v>
      </c>
      <c r="P141" s="3" t="b">
        <f>IF('DATA INPUT'!B145="T. ser",0.3662*'DATA INPUT'!E145^1.5061,IF('DATA INPUT'!B145="S. mel",(748.47*'DATA INPUT'!E145^2.2691)/1000,IF('DATA INPUT'!B145="V. ref",(953.69*'DATA INPUT'!E145^1.9524)/1000,IF('DATA INPUT'!B145=1,(695.02*'DATA INPUT'!E145^2.3452)/1000,IF('DATA INPUT'!B145=2,0.3662*'DATA INPUT'!E145^1.5061,FALSE)))))</f>
        <v>0</v>
      </c>
      <c r="Q141" s="3" t="b">
        <f>IF('DATA INPUT'!B145="T. ser",0.1225*('DATA INPUT'!F145*'DATA INPUT'!G145)^0.8272,IF('DATA INPUT'!B145="S. mel",(925.08*('DATA INPUT'!F145*'DATA INPUT'!G145)^1.1603)/1000,IF('DATA INPUT'!B145="V. ref",(776.29*('DATA INPUT'!F145*'DATA INPUT'!G145)^1.1226)/1000,IF('DATA INPUT'!B145=1,(884.6*('DATA INPUT'!F145*'DATA INPUT'!G145)^1.129)/1000,IF('DATA INPUT'!B145=2,0.1225*('DATA INPUT'!F145*'DATA INPUT'!G145)^0.8272,FALSE)))))</f>
        <v>0</v>
      </c>
      <c r="R141" s="3" t="b">
        <f>IF('DATA INPUT'!B145="T. ser",5.5287*('DATA INPUT'!H145*'DATA INPUT'!I145)^0.8272,IF('DATA INPUT'!B145="S. mel",(31469*('DATA INPUT'!H145*'DATA INPUT'!I145)^0.8608)/1000,IF('DATA INPUT'!B145="V. ref",(39394*('DATA INPUT'!H145*'DATA INPUT'!I145)^1.005)/1000,IF('DATA INPUT'!B145=1,(31791*('DATA INPUT'!H145*'DATA INPUT'!I145)^0.8467)/1000,IF('DATA INPUT'!B145=2,5.5287*('DATA INPUT'!H145*'DATA INPUT'!I145)^0.8272,FALSE)))))</f>
        <v>0</v>
      </c>
      <c r="S141" s="3" t="b">
        <f>IF('DATA INPUT'!B145="T. ser",0.0005*I141^0.5148,IF('DATA INPUT'!B145="S. mel",0.051*I141^0.7789/1000,IF('DATA INPUT'!B145="V. ref",0.0958*I141^0.7253/1000,IF('DATA INPUT'!B145=1,0.0426*I141^0.786/1000,IF('DATA INPUT'!B145=2,0.0005*I141^0.5148,FALSE)))))</f>
        <v>0</v>
      </c>
      <c r="T141" s="59">
        <f t="shared" si="16"/>
        <v>0</v>
      </c>
    </row>
    <row r="142" spans="1:20" x14ac:dyDescent="0.2">
      <c r="A142" s="218">
        <f>'DATA INPUT'!C146</f>
        <v>0</v>
      </c>
      <c r="B142" s="11" t="b">
        <f>IF('DATA INPUT'!B146="T. ser",0.1656*'DATA INPUT'!D146^1.4655,IF('DATA INPUT'!B146="S. mel",135.53*'DATA INPUT'!D146^3.8701/1000,IF('DATA INPUT'!B146="V. ref",143.01*'DATA INPUT'!D146^3.3147/1000,IF('DATA INPUT'!B146=1,143.35*'DATA INPUT'!D146^3.6046/1000,IF('DATA INPUT'!B146=2,0.1656*'DATA INPUT'!D146^1.4655,FALSE)))))</f>
        <v>0</v>
      </c>
      <c r="C142" s="8" t="b">
        <f>IF('DATA INPUT'!B146="T. ser",0.3356*'DATA INPUT'!E146^0.9984,IF('DATA INPUT'!B146="S. mel",24.906*'DATA INPUT'!E146^4.7681/1000,IF('DATA INPUT'!B146="V. ref",118.45*'DATA INPUT'!E146^3.5959/1000,IF('DATA INPUT'!B146=1,55.075*'DATA INPUT'!E146^4.0991/1000,IF('DATA INPUT'!B146=2,0.3356*'DATA INPUT'!E146^0.9984,FALSE)))))</f>
        <v>0</v>
      </c>
      <c r="D142" s="18" t="b">
        <f>IF('DATA INPUT'!B146="T. ser",0.0615*('DATA INPUT'!F146*'DATA INPUT'!G146)^0.9573,IF('DATA INPUT'!B146="S. mel",46.162*('DATA INPUT'!F146*'DATA INPUT'!G146)^2.3652/1000,IF('DATA INPUT'!B146="V. ref",90.34*('DATA INPUT'!F146*'DATA INPUT'!G146)^1.9756/1000,IF('DATA INPUT'!B146=1,63.022*('DATA INPUT'!F146*'DATA INPUT'!G146)^2.1551/1000,IF('DATA INPUT'!B146=2,0.0615*('DATA INPUT'!F146*'DATA INPUT'!G146)^0.9573,FALSE)))))</f>
        <v>0</v>
      </c>
      <c r="E142" s="8" t="b">
        <f>IF('DATA INPUT'!B146="T. ser",5.0562*('DATA INPUT'!H146*'DATA INPUT'!I146)^0.9574,IF('DATA INPUT'!B146="S. mel",44047*('DATA INPUT'!H146*'DATA INPUT'!I146)^1.5456/1000,IF('DATA INPUT'!B146="V. ref",91930*('DATA INPUT'!H146*'DATA INPUT'!I146)^1.7774/1000,IF('DATA INPUT'!B146=1,62601*('DATA INPUT'!H146*'DATA INPUT'!I146)^1.6463/1000,IF('DATA INPUT'!B146=2,5.0562*('DATA INPUT'!H146*'DATA INPUT'!I146)^0.9574,FALSE)))))</f>
        <v>0</v>
      </c>
      <c r="F142" s="18" t="b">
        <f>IF('DATA INPUT'!B146="T. ser",0.0009*I142^0.4477,IF('DATA INPUT'!B146="S. mel",0.0000004*I142^1.4912/1000,IF('DATA INPUT'!B146="V. ref",0.00000005*I142^1.6284/1000,IF('DATA INPUT'!B146=1,0.0000007*I142^1.4601/1000,IF('DATA INPUT'!B146=2,0.0009*I142^0.4477,FALSE)))))</f>
        <v>0</v>
      </c>
      <c r="G142" s="57">
        <f t="shared" si="14"/>
        <v>0</v>
      </c>
      <c r="H142" s="57"/>
      <c r="I142" s="2" t="b">
        <f>IF('DATA INPUT'!B146="T. ser",3.142*'DATA INPUT'!N146^2*'DATA INPUT'!O146/3+3.142*'DATA INPUT'!P146^2/3*(3*'DATA INPUT'!N146-'DATA INPUT'!P146),IF('DATA INPUT'!B146="S. mel",3.142*'DATA INPUT'!N146^2*'DATA INPUT'!O146/3+3.142*'DATA INPUT'!P146^2/3*(3*'DATA INPUT'!N146-'DATA INPUT'!P146),IF('DATA INPUT'!B146="V. ref",3.142*'DATA INPUT'!N146^2*'DATA INPUT'!O146/3+3.142*'DATA INPUT'!P146^2/3*(3*'DATA INPUT'!N146-'DATA INPUT'!P146),IF('DATA INPUT'!B146=1,3.142*'DATA INPUT'!N146^2*'DATA INPUT'!O146/3+3.142*'DATA INPUT'!P146^2/3*(3*'DATA INPUT'!N146-'DATA INPUT'!P146),IF('DATA INPUT'!B146=2,3.142*'DATA INPUT'!N146^2*'DATA INPUT'!O146/3+3.142*'DATA INPUT'!P146^2/3*(3*'DATA INPUT'!N146-'DATA INPUT'!P146),FALSE)))))</f>
        <v>0</v>
      </c>
      <c r="J142" s="2" t="b">
        <f>IF('DATA INPUT'!B146="T. ser",0.0458*CALCULATIONS!I142^0.6841,IF('DATA INPUT'!B146="S. mel",0.6047*CALCULATIONS!I142^0.6433,IF('DATA INPUT'!B146="V. ref",0.77086*CALCULATIONS!I142^0.4936,IF('DATA INPUT'!B146=1,0.68778*CALCULATIONS!I142^0.56845,IF('DATA INPUT'!B146=2,0.0458*CALCULATIONS!I142^0.6841,FALSE)))))</f>
        <v>0</v>
      </c>
      <c r="K142" s="3">
        <f t="shared" si="15"/>
        <v>0</v>
      </c>
      <c r="L142" s="3" t="b">
        <f>IF('DATA INPUT'!B146="T. ser",('DATA INPUT'!D146+'DATA INPUT'!F146+'DATA INPUT'!H146+'DATA INPUT'!J146)/1.5,IF('DATA INPUT'!B146="V. ref",('DATA INPUT'!D146+'DATA INPUT'!F146+'DATA INPUT'!H146+'DATA INPUT'!J146)/1.5,IF('DATA INPUT'!B146="S. mel",('DATA INPUT'!D146+'DATA INPUT'!F146+'DATA INPUT'!H146+'DATA INPUT'!J146)/1.5,IF('DATA INPUT'!B146=1,('DATA INPUT'!D146+'DATA INPUT'!F146+'DATA INPUT'!H146+'DATA INPUT'!J146)/1.5,IF('DATA INPUT'!B146=2,('DATA INPUT'!D146+'DATA INPUT'!F146+'DATA INPUT'!H146+'DATA INPUT'!J146)/1.5,FALSE)))))</f>
        <v>0</v>
      </c>
      <c r="N142" s="16">
        <f>'DATA INPUT'!C146</f>
        <v>0</v>
      </c>
      <c r="O142" s="3" t="b">
        <f>IF('DATA INPUT'!B146="T. ser",0.3446*'DATA INPUT'!D146^1.0619,IF('DATA INPUT'!B146="S. mel",(1270.6*'DATA INPUT'!D146^2.0933)/1000,IF('DATA INPUT'!B146="V. ref",(816.25*'DATA INPUT'!D146^2.1754)/1000,IF('DATA INPUT'!B146=1,(1492.4*'DATA INPUT'!D146^1.7591)/1000,IF('DATA INPUT'!B146=2,0.3446*'DATA INPUT'!D146^1.0619,FALSE)))))</f>
        <v>0</v>
      </c>
      <c r="P142" s="3" t="b">
        <f>IF('DATA INPUT'!B146="T. ser",0.3662*'DATA INPUT'!E146^1.5061,IF('DATA INPUT'!B146="S. mel",(748.47*'DATA INPUT'!E146^2.2691)/1000,IF('DATA INPUT'!B146="V. ref",(953.69*'DATA INPUT'!E146^1.9524)/1000,IF('DATA INPUT'!B146=1,(695.02*'DATA INPUT'!E146^2.3452)/1000,IF('DATA INPUT'!B146=2,0.3662*'DATA INPUT'!E146^1.5061,FALSE)))))</f>
        <v>0</v>
      </c>
      <c r="Q142" s="3" t="b">
        <f>IF('DATA INPUT'!B146="T. ser",0.1225*('DATA INPUT'!F146*'DATA INPUT'!G146)^0.8272,IF('DATA INPUT'!B146="S. mel",(925.08*('DATA INPUT'!F146*'DATA INPUT'!G146)^1.1603)/1000,IF('DATA INPUT'!B146="V. ref",(776.29*('DATA INPUT'!F146*'DATA INPUT'!G146)^1.1226)/1000,IF('DATA INPUT'!B146=1,(884.6*('DATA INPUT'!F146*'DATA INPUT'!G146)^1.129)/1000,IF('DATA INPUT'!B146=2,0.1225*('DATA INPUT'!F146*'DATA INPUT'!G146)^0.8272,FALSE)))))</f>
        <v>0</v>
      </c>
      <c r="R142" s="3" t="b">
        <f>IF('DATA INPUT'!B146="T. ser",5.5287*('DATA INPUT'!H146*'DATA INPUT'!I146)^0.8272,IF('DATA INPUT'!B146="S. mel",(31469*('DATA INPUT'!H146*'DATA INPUT'!I146)^0.8608)/1000,IF('DATA INPUT'!B146="V. ref",(39394*('DATA INPUT'!H146*'DATA INPUT'!I146)^1.005)/1000,IF('DATA INPUT'!B146=1,(31791*('DATA INPUT'!H146*'DATA INPUT'!I146)^0.8467)/1000,IF('DATA INPUT'!B146=2,5.5287*('DATA INPUT'!H146*'DATA INPUT'!I146)^0.8272,FALSE)))))</f>
        <v>0</v>
      </c>
      <c r="S142" s="3" t="b">
        <f>IF('DATA INPUT'!B146="T. ser",0.0005*I142^0.5148,IF('DATA INPUT'!B146="S. mel",0.051*I142^0.7789/1000,IF('DATA INPUT'!B146="V. ref",0.0958*I142^0.7253/1000,IF('DATA INPUT'!B146=1,0.0426*I142^0.786/1000,IF('DATA INPUT'!B146=2,0.0005*I142^0.5148,FALSE)))))</f>
        <v>0</v>
      </c>
      <c r="T142" s="59">
        <f t="shared" si="16"/>
        <v>0</v>
      </c>
    </row>
    <row r="143" spans="1:20" x14ac:dyDescent="0.2">
      <c r="A143" s="218">
        <f>'DATA INPUT'!C147</f>
        <v>0</v>
      </c>
      <c r="B143" s="11" t="b">
        <f>IF('DATA INPUT'!B147="T. ser",0.1656*'DATA INPUT'!D147^1.4655,IF('DATA INPUT'!B147="S. mel",135.53*'DATA INPUT'!D147^3.8701/1000,IF('DATA INPUT'!B147="V. ref",143.01*'DATA INPUT'!D147^3.3147/1000,IF('DATA INPUT'!B147=1,143.35*'DATA INPUT'!D147^3.6046/1000,IF('DATA INPUT'!B147=2,0.1656*'DATA INPUT'!D147^1.4655,FALSE)))))</f>
        <v>0</v>
      </c>
      <c r="C143" s="8" t="b">
        <f>IF('DATA INPUT'!B147="T. ser",0.3356*'DATA INPUT'!E147^0.9984,IF('DATA INPUT'!B147="S. mel",24.906*'DATA INPUT'!E147^4.7681/1000,IF('DATA INPUT'!B147="V. ref",118.45*'DATA INPUT'!E147^3.5959/1000,IF('DATA INPUT'!B147=1,55.075*'DATA INPUT'!E147^4.0991/1000,IF('DATA INPUT'!B147=2,0.3356*'DATA INPUT'!E147^0.9984,FALSE)))))</f>
        <v>0</v>
      </c>
      <c r="D143" s="18" t="b">
        <f>IF('DATA INPUT'!B147="T. ser",0.0615*('DATA INPUT'!F147*'DATA INPUT'!G147)^0.9573,IF('DATA INPUT'!B147="S. mel",46.162*('DATA INPUT'!F147*'DATA INPUT'!G147)^2.3652/1000,IF('DATA INPUT'!B147="V. ref",90.34*('DATA INPUT'!F147*'DATA INPUT'!G147)^1.9756/1000,IF('DATA INPUT'!B147=1,63.022*('DATA INPUT'!F147*'DATA INPUT'!G147)^2.1551/1000,IF('DATA INPUT'!B147=2,0.0615*('DATA INPUT'!F147*'DATA INPUT'!G147)^0.9573,FALSE)))))</f>
        <v>0</v>
      </c>
      <c r="E143" s="8" t="b">
        <f>IF('DATA INPUT'!B147="T. ser",5.0562*('DATA INPUT'!H147*'DATA INPUT'!I147)^0.9574,IF('DATA INPUT'!B147="S. mel",44047*('DATA INPUT'!H147*'DATA INPUT'!I147)^1.5456/1000,IF('DATA INPUT'!B147="V. ref",91930*('DATA INPUT'!H147*'DATA INPUT'!I147)^1.7774/1000,IF('DATA INPUT'!B147=1,62601*('DATA INPUT'!H147*'DATA INPUT'!I147)^1.6463/1000,IF('DATA INPUT'!B147=2,5.0562*('DATA INPUT'!H147*'DATA INPUT'!I147)^0.9574,FALSE)))))</f>
        <v>0</v>
      </c>
      <c r="F143" s="18" t="b">
        <f>IF('DATA INPUT'!B147="T. ser",0.0009*I143^0.4477,IF('DATA INPUT'!B147="S. mel",0.0000004*I143^1.4912/1000,IF('DATA INPUT'!B147="V. ref",0.00000005*I143^1.6284/1000,IF('DATA INPUT'!B147=1,0.0000007*I143^1.4601/1000,IF('DATA INPUT'!B147=2,0.0009*I143^0.4477,FALSE)))))</f>
        <v>0</v>
      </c>
      <c r="G143" s="57">
        <f t="shared" si="14"/>
        <v>0</v>
      </c>
      <c r="H143" s="57"/>
      <c r="I143" s="2" t="b">
        <f>IF('DATA INPUT'!B147="T. ser",3.142*'DATA INPUT'!N147^2*'DATA INPUT'!O147/3+3.142*'DATA INPUT'!P147^2/3*(3*'DATA INPUT'!N147-'DATA INPUT'!P147),IF('DATA INPUT'!B147="S. mel",3.142*'DATA INPUT'!N147^2*'DATA INPUT'!O147/3+3.142*'DATA INPUT'!P147^2/3*(3*'DATA INPUT'!N147-'DATA INPUT'!P147),IF('DATA INPUT'!B147="V. ref",3.142*'DATA INPUT'!N147^2*'DATA INPUT'!O147/3+3.142*'DATA INPUT'!P147^2/3*(3*'DATA INPUT'!N147-'DATA INPUT'!P147),IF('DATA INPUT'!B147=1,3.142*'DATA INPUT'!N147^2*'DATA INPUT'!O147/3+3.142*'DATA INPUT'!P147^2/3*(3*'DATA INPUT'!N147-'DATA INPUT'!P147),IF('DATA INPUT'!B147=2,3.142*'DATA INPUT'!N147^2*'DATA INPUT'!O147/3+3.142*'DATA INPUT'!P147^2/3*(3*'DATA INPUT'!N147-'DATA INPUT'!P147),FALSE)))))</f>
        <v>0</v>
      </c>
      <c r="J143" s="2" t="b">
        <f>IF('DATA INPUT'!B147="T. ser",0.0458*CALCULATIONS!I143^0.6841,IF('DATA INPUT'!B147="S. mel",0.6047*CALCULATIONS!I143^0.6433,IF('DATA INPUT'!B147="V. ref",0.77086*CALCULATIONS!I143^0.4936,IF('DATA INPUT'!B147=1,0.68778*CALCULATIONS!I143^0.56845,IF('DATA INPUT'!B147=2,0.0458*CALCULATIONS!I143^0.6841,FALSE)))))</f>
        <v>0</v>
      </c>
      <c r="K143" s="3">
        <f t="shared" si="15"/>
        <v>0</v>
      </c>
      <c r="L143" s="3" t="b">
        <f>IF('DATA INPUT'!B147="T. ser",('DATA INPUT'!D147+'DATA INPUT'!F147+'DATA INPUT'!H147+'DATA INPUT'!J147)/1.5,IF('DATA INPUT'!B147="V. ref",('DATA INPUT'!D147+'DATA INPUT'!F147+'DATA INPUT'!H147+'DATA INPUT'!J147)/1.5,IF('DATA INPUT'!B147="S. mel",('DATA INPUT'!D147+'DATA INPUT'!F147+'DATA INPUT'!H147+'DATA INPUT'!J147)/1.5,IF('DATA INPUT'!B147=1,('DATA INPUT'!D147+'DATA INPUT'!F147+'DATA INPUT'!H147+'DATA INPUT'!J147)/1.5,IF('DATA INPUT'!B147=2,('DATA INPUT'!D147+'DATA INPUT'!F147+'DATA INPUT'!H147+'DATA INPUT'!J147)/1.5,FALSE)))))</f>
        <v>0</v>
      </c>
      <c r="N143" s="16">
        <f>'DATA INPUT'!C147</f>
        <v>0</v>
      </c>
      <c r="O143" s="3" t="b">
        <f>IF('DATA INPUT'!B147="T. ser",0.3446*'DATA INPUT'!D147^1.0619,IF('DATA INPUT'!B147="S. mel",(1270.6*'DATA INPUT'!D147^2.0933)/1000,IF('DATA INPUT'!B147="V. ref",(816.25*'DATA INPUT'!D147^2.1754)/1000,IF('DATA INPUT'!B147=1,(1492.4*'DATA INPUT'!D147^1.7591)/1000,IF('DATA INPUT'!B147=2,0.3446*'DATA INPUT'!D147^1.0619,FALSE)))))</f>
        <v>0</v>
      </c>
      <c r="P143" s="3" t="b">
        <f>IF('DATA INPUT'!B147="T. ser",0.3662*'DATA INPUT'!E147^1.5061,IF('DATA INPUT'!B147="S. mel",(748.47*'DATA INPUT'!E147^2.2691)/1000,IF('DATA INPUT'!B147="V. ref",(953.69*'DATA INPUT'!E147^1.9524)/1000,IF('DATA INPUT'!B147=1,(695.02*'DATA INPUT'!E147^2.3452)/1000,IF('DATA INPUT'!B147=2,0.3662*'DATA INPUT'!E147^1.5061,FALSE)))))</f>
        <v>0</v>
      </c>
      <c r="Q143" s="3" t="b">
        <f>IF('DATA INPUT'!B147="T. ser",0.1225*('DATA INPUT'!F147*'DATA INPUT'!G147)^0.8272,IF('DATA INPUT'!B147="S. mel",(925.08*('DATA INPUT'!F147*'DATA INPUT'!G147)^1.1603)/1000,IF('DATA INPUT'!B147="V. ref",(776.29*('DATA INPUT'!F147*'DATA INPUT'!G147)^1.1226)/1000,IF('DATA INPUT'!B147=1,(884.6*('DATA INPUT'!F147*'DATA INPUT'!G147)^1.129)/1000,IF('DATA INPUT'!B147=2,0.1225*('DATA INPUT'!F147*'DATA INPUT'!G147)^0.8272,FALSE)))))</f>
        <v>0</v>
      </c>
      <c r="R143" s="3" t="b">
        <f>IF('DATA INPUT'!B147="T. ser",5.5287*('DATA INPUT'!H147*'DATA INPUT'!I147)^0.8272,IF('DATA INPUT'!B147="S. mel",(31469*('DATA INPUT'!H147*'DATA INPUT'!I147)^0.8608)/1000,IF('DATA INPUT'!B147="V. ref",(39394*('DATA INPUT'!H147*'DATA INPUT'!I147)^1.005)/1000,IF('DATA INPUT'!B147=1,(31791*('DATA INPUT'!H147*'DATA INPUT'!I147)^0.8467)/1000,IF('DATA INPUT'!B147=2,5.5287*('DATA INPUT'!H147*'DATA INPUT'!I147)^0.8272,FALSE)))))</f>
        <v>0</v>
      </c>
      <c r="S143" s="3" t="b">
        <f>IF('DATA INPUT'!B147="T. ser",0.0005*I143^0.5148,IF('DATA INPUT'!B147="S. mel",0.051*I143^0.7789/1000,IF('DATA INPUT'!B147="V. ref",0.0958*I143^0.7253/1000,IF('DATA INPUT'!B147=1,0.0426*I143^0.786/1000,IF('DATA INPUT'!B147=2,0.0005*I143^0.5148,FALSE)))))</f>
        <v>0</v>
      </c>
      <c r="T143" s="59">
        <f t="shared" si="16"/>
        <v>0</v>
      </c>
    </row>
    <row r="144" spans="1:20" x14ac:dyDescent="0.2">
      <c r="A144" s="218">
        <f>'DATA INPUT'!C148</f>
        <v>0</v>
      </c>
      <c r="B144" s="11" t="b">
        <f>IF('DATA INPUT'!B148="T. ser",0.1656*'DATA INPUT'!D148^1.4655,IF('DATA INPUT'!B148="S. mel",135.53*'DATA INPUT'!D148^3.8701/1000,IF('DATA INPUT'!B148="V. ref",143.01*'DATA INPUT'!D148^3.3147/1000,IF('DATA INPUT'!B148=1,143.35*'DATA INPUT'!D148^3.6046/1000,IF('DATA INPUT'!B148=2,0.1656*'DATA INPUT'!D148^1.4655,FALSE)))))</f>
        <v>0</v>
      </c>
      <c r="C144" s="8" t="b">
        <f>IF('DATA INPUT'!B148="T. ser",0.3356*'DATA INPUT'!E148^0.9984,IF('DATA INPUT'!B148="S. mel",24.906*'DATA INPUT'!E148^4.7681/1000,IF('DATA INPUT'!B148="V. ref",118.45*'DATA INPUT'!E148^3.5959/1000,IF('DATA INPUT'!B148=1,55.075*'DATA INPUT'!E148^4.0991/1000,IF('DATA INPUT'!B148=2,0.3356*'DATA INPUT'!E148^0.9984,FALSE)))))</f>
        <v>0</v>
      </c>
      <c r="D144" s="18" t="b">
        <f>IF('DATA INPUT'!B148="T. ser",0.0615*('DATA INPUT'!F148*'DATA INPUT'!G148)^0.9573,IF('DATA INPUT'!B148="S. mel",46.162*('DATA INPUT'!F148*'DATA INPUT'!G148)^2.3652/1000,IF('DATA INPUT'!B148="V. ref",90.34*('DATA INPUT'!F148*'DATA INPUT'!G148)^1.9756/1000,IF('DATA INPUT'!B148=1,63.022*('DATA INPUT'!F148*'DATA INPUT'!G148)^2.1551/1000,IF('DATA INPUT'!B148=2,0.0615*('DATA INPUT'!F148*'DATA INPUT'!G148)^0.9573,FALSE)))))</f>
        <v>0</v>
      </c>
      <c r="E144" s="8" t="b">
        <f>IF('DATA INPUT'!B148="T. ser",5.0562*('DATA INPUT'!H148*'DATA INPUT'!I148)^0.9574,IF('DATA INPUT'!B148="S. mel",44047*('DATA INPUT'!H148*'DATA INPUT'!I148)^1.5456/1000,IF('DATA INPUT'!B148="V. ref",91930*('DATA INPUT'!H148*'DATA INPUT'!I148)^1.7774/1000,IF('DATA INPUT'!B148=1,62601*('DATA INPUT'!H148*'DATA INPUT'!I148)^1.6463/1000,IF('DATA INPUT'!B148=2,5.0562*('DATA INPUT'!H148*'DATA INPUT'!I148)^0.9574,FALSE)))))</f>
        <v>0</v>
      </c>
      <c r="F144" s="18" t="b">
        <f>IF('DATA INPUT'!B148="T. ser",0.0009*I144^0.4477,IF('DATA INPUT'!B148="S. mel",0.0000004*I144^1.4912/1000,IF('DATA INPUT'!B148="V. ref",0.00000005*I144^1.6284/1000,IF('DATA INPUT'!B148=1,0.0000007*I144^1.4601/1000,IF('DATA INPUT'!B148=2,0.0009*I144^0.4477,FALSE)))))</f>
        <v>0</v>
      </c>
      <c r="G144" s="57">
        <f t="shared" si="14"/>
        <v>0</v>
      </c>
      <c r="H144" s="57"/>
      <c r="I144" s="2" t="b">
        <f>IF('DATA INPUT'!B148="T. ser",3.142*'DATA INPUT'!N148^2*'DATA INPUT'!O148/3+3.142*'DATA INPUT'!P148^2/3*(3*'DATA INPUT'!N148-'DATA INPUT'!P148),IF('DATA INPUT'!B148="S. mel",3.142*'DATA INPUT'!N148^2*'DATA INPUT'!O148/3+3.142*'DATA INPUT'!P148^2/3*(3*'DATA INPUT'!N148-'DATA INPUT'!P148),IF('DATA INPUT'!B148="V. ref",3.142*'DATA INPUT'!N148^2*'DATA INPUT'!O148/3+3.142*'DATA INPUT'!P148^2/3*(3*'DATA INPUT'!N148-'DATA INPUT'!P148),IF('DATA INPUT'!B148=1,3.142*'DATA INPUT'!N148^2*'DATA INPUT'!O148/3+3.142*'DATA INPUT'!P148^2/3*(3*'DATA INPUT'!N148-'DATA INPUT'!P148),IF('DATA INPUT'!B148=2,3.142*'DATA INPUT'!N148^2*'DATA INPUT'!O148/3+3.142*'DATA INPUT'!P148^2/3*(3*'DATA INPUT'!N148-'DATA INPUT'!P148),FALSE)))))</f>
        <v>0</v>
      </c>
      <c r="J144" s="2" t="b">
        <f>IF('DATA INPUT'!B148="T. ser",0.0458*CALCULATIONS!I144^0.6841,IF('DATA INPUT'!B148="S. mel",0.6047*CALCULATIONS!I144^0.6433,IF('DATA INPUT'!B148="V. ref",0.77086*CALCULATIONS!I144^0.4936,IF('DATA INPUT'!B148=1,0.68778*CALCULATIONS!I144^0.56845,IF('DATA INPUT'!B148=2,0.0458*CALCULATIONS!I144^0.6841,FALSE)))))</f>
        <v>0</v>
      </c>
      <c r="K144" s="3">
        <f t="shared" si="15"/>
        <v>0</v>
      </c>
      <c r="L144" s="3" t="b">
        <f>IF('DATA INPUT'!B148="T. ser",('DATA INPUT'!D148+'DATA INPUT'!F148+'DATA INPUT'!H148+'DATA INPUT'!J148)/1.5,IF('DATA INPUT'!B148="V. ref",('DATA INPUT'!D148+'DATA INPUT'!F148+'DATA INPUT'!H148+'DATA INPUT'!J148)/1.5,IF('DATA INPUT'!B148="S. mel",('DATA INPUT'!D148+'DATA INPUT'!F148+'DATA INPUT'!H148+'DATA INPUT'!J148)/1.5,IF('DATA INPUT'!B148=1,('DATA INPUT'!D148+'DATA INPUT'!F148+'DATA INPUT'!H148+'DATA INPUT'!J148)/1.5,IF('DATA INPUT'!B148=2,('DATA INPUT'!D148+'DATA INPUT'!F148+'DATA INPUT'!H148+'DATA INPUT'!J148)/1.5,FALSE)))))</f>
        <v>0</v>
      </c>
      <c r="N144" s="16">
        <f>'DATA INPUT'!C148</f>
        <v>0</v>
      </c>
      <c r="O144" s="3" t="b">
        <f>IF('DATA INPUT'!B148="T. ser",0.3446*'DATA INPUT'!D148^1.0619,IF('DATA INPUT'!B148="S. mel",(1270.6*'DATA INPUT'!D148^2.0933)/1000,IF('DATA INPUT'!B148="V. ref",(816.25*'DATA INPUT'!D148^2.1754)/1000,IF('DATA INPUT'!B148=1,(1492.4*'DATA INPUT'!D148^1.7591)/1000,IF('DATA INPUT'!B148=2,0.3446*'DATA INPUT'!D148^1.0619,FALSE)))))</f>
        <v>0</v>
      </c>
      <c r="P144" s="3" t="b">
        <f>IF('DATA INPUT'!B148="T. ser",0.3662*'DATA INPUT'!E148^1.5061,IF('DATA INPUT'!B148="S. mel",(748.47*'DATA INPUT'!E148^2.2691)/1000,IF('DATA INPUT'!B148="V. ref",(953.69*'DATA INPUT'!E148^1.9524)/1000,IF('DATA INPUT'!B148=1,(695.02*'DATA INPUT'!E148^2.3452)/1000,IF('DATA INPUT'!B148=2,0.3662*'DATA INPUT'!E148^1.5061,FALSE)))))</f>
        <v>0</v>
      </c>
      <c r="Q144" s="3" t="b">
        <f>IF('DATA INPUT'!B148="T. ser",0.1225*('DATA INPUT'!F148*'DATA INPUT'!G148)^0.8272,IF('DATA INPUT'!B148="S. mel",(925.08*('DATA INPUT'!F148*'DATA INPUT'!G148)^1.1603)/1000,IF('DATA INPUT'!B148="V. ref",(776.29*('DATA INPUT'!F148*'DATA INPUT'!G148)^1.1226)/1000,IF('DATA INPUT'!B148=1,(884.6*('DATA INPUT'!F148*'DATA INPUT'!G148)^1.129)/1000,IF('DATA INPUT'!B148=2,0.1225*('DATA INPUT'!F148*'DATA INPUT'!G148)^0.8272,FALSE)))))</f>
        <v>0</v>
      </c>
      <c r="R144" s="3" t="b">
        <f>IF('DATA INPUT'!B148="T. ser",5.5287*('DATA INPUT'!H148*'DATA INPUT'!I148)^0.8272,IF('DATA INPUT'!B148="S. mel",(31469*('DATA INPUT'!H148*'DATA INPUT'!I148)^0.8608)/1000,IF('DATA INPUT'!B148="V. ref",(39394*('DATA INPUT'!H148*'DATA INPUT'!I148)^1.005)/1000,IF('DATA INPUT'!B148=1,(31791*('DATA INPUT'!H148*'DATA INPUT'!I148)^0.8467)/1000,IF('DATA INPUT'!B148=2,5.5287*('DATA INPUT'!H148*'DATA INPUT'!I148)^0.8272,FALSE)))))</f>
        <v>0</v>
      </c>
      <c r="S144" s="3" t="b">
        <f>IF('DATA INPUT'!B148="T. ser",0.0005*I144^0.5148,IF('DATA INPUT'!B148="S. mel",0.051*I144^0.7789/1000,IF('DATA INPUT'!B148="V. ref",0.0958*I144^0.7253/1000,IF('DATA INPUT'!B148=1,0.0426*I144^0.786/1000,IF('DATA INPUT'!B148=2,0.0005*I144^0.5148,FALSE)))))</f>
        <v>0</v>
      </c>
      <c r="T144" s="59">
        <f t="shared" si="16"/>
        <v>0</v>
      </c>
    </row>
    <row r="145" spans="1:25" x14ac:dyDescent="0.2">
      <c r="A145" s="218">
        <f>'DATA INPUT'!C149</f>
        <v>0</v>
      </c>
      <c r="B145" s="11" t="b">
        <f>IF('DATA INPUT'!B149="T. ser",0.1656*'DATA INPUT'!D149^1.4655,IF('DATA INPUT'!B149="S. mel",135.53*'DATA INPUT'!D149^3.8701/1000,IF('DATA INPUT'!B149="V. ref",143.01*'DATA INPUT'!D149^3.3147/1000,IF('DATA INPUT'!B149=1,143.35*'DATA INPUT'!D149^3.6046/1000,IF('DATA INPUT'!B149=2,0.1656*'DATA INPUT'!D149^1.4655,FALSE)))))</f>
        <v>0</v>
      </c>
      <c r="C145" s="8" t="b">
        <f>IF('DATA INPUT'!B149="T. ser",0.3356*'DATA INPUT'!E149^0.9984,IF('DATA INPUT'!B149="S. mel",24.906*'DATA INPUT'!E149^4.7681/1000,IF('DATA INPUT'!B149="V. ref",118.45*'DATA INPUT'!E149^3.5959/1000,IF('DATA INPUT'!B149=1,55.075*'DATA INPUT'!E149^4.0991/1000,IF('DATA INPUT'!B149=2,0.3356*'DATA INPUT'!E149^0.9984,FALSE)))))</f>
        <v>0</v>
      </c>
      <c r="D145" s="18" t="b">
        <f>IF('DATA INPUT'!B149="T. ser",0.0615*('DATA INPUT'!F149*'DATA INPUT'!G149)^0.9573,IF('DATA INPUT'!B149="S. mel",46.162*('DATA INPUT'!F149*'DATA INPUT'!G149)^2.3652/1000,IF('DATA INPUT'!B149="V. ref",90.34*('DATA INPUT'!F149*'DATA INPUT'!G149)^1.9756/1000,IF('DATA INPUT'!B149=1,63.022*('DATA INPUT'!F149*'DATA INPUT'!G149)^2.1551/1000,IF('DATA INPUT'!B149=2,0.0615*('DATA INPUT'!F149*'DATA INPUT'!G149)^0.9573,FALSE)))))</f>
        <v>0</v>
      </c>
      <c r="E145" s="8" t="b">
        <f>IF('DATA INPUT'!B149="T. ser",5.0562*('DATA INPUT'!H149*'DATA INPUT'!I149)^0.9574,IF('DATA INPUT'!B149="S. mel",44047*('DATA INPUT'!H149*'DATA INPUT'!I149)^1.5456/1000,IF('DATA INPUT'!B149="V. ref",91930*('DATA INPUT'!H149*'DATA INPUT'!I149)^1.7774/1000,IF('DATA INPUT'!B149=1,62601*('DATA INPUT'!H149*'DATA INPUT'!I149)^1.6463/1000,IF('DATA INPUT'!B149=2,5.0562*('DATA INPUT'!H149*'DATA INPUT'!I149)^0.9574,FALSE)))))</f>
        <v>0</v>
      </c>
      <c r="F145" s="18" t="b">
        <f>IF('DATA INPUT'!B149="T. ser",0.0009*I145^0.4477,IF('DATA INPUT'!B149="S. mel",0.0000004*I145^1.4912/1000,IF('DATA INPUT'!B149="V. ref",0.00000005*I145^1.6284/1000,IF('DATA INPUT'!B149=1,0.0000007*I145^1.4601/1000,IF('DATA INPUT'!B149=2,0.0009*I145^0.4477,FALSE)))))</f>
        <v>0</v>
      </c>
      <c r="G145" s="57">
        <f t="shared" si="14"/>
        <v>0</v>
      </c>
      <c r="H145" s="57"/>
      <c r="I145" s="2" t="b">
        <f>IF('DATA INPUT'!B149="T. ser",3.142*'DATA INPUT'!N149^2*'DATA INPUT'!O149/3+3.142*'DATA INPUT'!P149^2/3*(3*'DATA INPUT'!N149-'DATA INPUT'!P149),IF('DATA INPUT'!B149="S. mel",3.142*'DATA INPUT'!N149^2*'DATA INPUT'!O149/3+3.142*'DATA INPUT'!P149^2/3*(3*'DATA INPUT'!N149-'DATA INPUT'!P149),IF('DATA INPUT'!B149="V. ref",3.142*'DATA INPUT'!N149^2*'DATA INPUT'!O149/3+3.142*'DATA INPUT'!P149^2/3*(3*'DATA INPUT'!N149-'DATA INPUT'!P149),IF('DATA INPUT'!B149=1,3.142*'DATA INPUT'!N149^2*'DATA INPUT'!O149/3+3.142*'DATA INPUT'!P149^2/3*(3*'DATA INPUT'!N149-'DATA INPUT'!P149),IF('DATA INPUT'!B149=2,3.142*'DATA INPUT'!N149^2*'DATA INPUT'!O149/3+3.142*'DATA INPUT'!P149^2/3*(3*'DATA INPUT'!N149-'DATA INPUT'!P149),FALSE)))))</f>
        <v>0</v>
      </c>
      <c r="J145" s="2" t="b">
        <f>IF('DATA INPUT'!B149="T. ser",0.0458*CALCULATIONS!I145^0.6841,IF('DATA INPUT'!B149="S. mel",0.6047*CALCULATIONS!I145^0.6433,IF('DATA INPUT'!B149="V. ref",0.77086*CALCULATIONS!I145^0.4936,IF('DATA INPUT'!B149=1,0.68778*CALCULATIONS!I145^0.56845,IF('DATA INPUT'!B149=2,0.0458*CALCULATIONS!I145^0.6841,FALSE)))))</f>
        <v>0</v>
      </c>
      <c r="K145" s="3">
        <f t="shared" si="15"/>
        <v>0</v>
      </c>
      <c r="L145" s="3" t="b">
        <f>IF('DATA INPUT'!B149="T. ser",('DATA INPUT'!D149+'DATA INPUT'!F149+'DATA INPUT'!H149+'DATA INPUT'!J149)/1.5,IF('DATA INPUT'!B149="V. ref",('DATA INPUT'!D149+'DATA INPUT'!F149+'DATA INPUT'!H149+'DATA INPUT'!J149)/1.5,IF('DATA INPUT'!B149="S. mel",('DATA INPUT'!D149+'DATA INPUT'!F149+'DATA INPUT'!H149+'DATA INPUT'!J149)/1.5,IF('DATA INPUT'!B149=1,('DATA INPUT'!D149+'DATA INPUT'!F149+'DATA INPUT'!H149+'DATA INPUT'!J149)/1.5,IF('DATA INPUT'!B149=2,('DATA INPUT'!D149+'DATA INPUT'!F149+'DATA INPUT'!H149+'DATA INPUT'!J149)/1.5,FALSE)))))</f>
        <v>0</v>
      </c>
      <c r="N145" s="16">
        <f>'DATA INPUT'!C149</f>
        <v>0</v>
      </c>
      <c r="O145" s="3" t="b">
        <f>IF('DATA INPUT'!B149="T. ser",0.3446*'DATA INPUT'!D149^1.0619,IF('DATA INPUT'!B149="S. mel",(1270.6*'DATA INPUT'!D149^2.0933)/1000,IF('DATA INPUT'!B149="V. ref",(816.25*'DATA INPUT'!D149^2.1754)/1000,IF('DATA INPUT'!B149=1,(1492.4*'DATA INPUT'!D149^1.7591)/1000,IF('DATA INPUT'!B149=2,0.3446*'DATA INPUT'!D149^1.0619,FALSE)))))</f>
        <v>0</v>
      </c>
      <c r="P145" s="3" t="b">
        <f>IF('DATA INPUT'!B149="T. ser",0.3662*'DATA INPUT'!E149^1.5061,IF('DATA INPUT'!B149="S. mel",(748.47*'DATA INPUT'!E149^2.2691)/1000,IF('DATA INPUT'!B149="V. ref",(953.69*'DATA INPUT'!E149^1.9524)/1000,IF('DATA INPUT'!B149=1,(695.02*'DATA INPUT'!E149^2.3452)/1000,IF('DATA INPUT'!B149=2,0.3662*'DATA INPUT'!E149^1.5061,FALSE)))))</f>
        <v>0</v>
      </c>
      <c r="Q145" s="3" t="b">
        <f>IF('DATA INPUT'!B149="T. ser",0.1225*('DATA INPUT'!F149*'DATA INPUT'!G149)^0.8272,IF('DATA INPUT'!B149="S. mel",(925.08*('DATA INPUT'!F149*'DATA INPUT'!G149)^1.1603)/1000,IF('DATA INPUT'!B149="V. ref",(776.29*('DATA INPUT'!F149*'DATA INPUT'!G149)^1.1226)/1000,IF('DATA INPUT'!B149=1,(884.6*('DATA INPUT'!F149*'DATA INPUT'!G149)^1.129)/1000,IF('DATA INPUT'!B149=2,0.1225*('DATA INPUT'!F149*'DATA INPUT'!G149)^0.8272,FALSE)))))</f>
        <v>0</v>
      </c>
      <c r="R145" s="3" t="b">
        <f>IF('DATA INPUT'!B149="T. ser",5.5287*('DATA INPUT'!H149*'DATA INPUT'!I149)^0.8272,IF('DATA INPUT'!B149="S. mel",(31469*('DATA INPUT'!H149*'DATA INPUT'!I149)^0.8608)/1000,IF('DATA INPUT'!B149="V. ref",(39394*('DATA INPUT'!H149*'DATA INPUT'!I149)^1.005)/1000,IF('DATA INPUT'!B149=1,(31791*('DATA INPUT'!H149*'DATA INPUT'!I149)^0.8467)/1000,IF('DATA INPUT'!B149=2,5.5287*('DATA INPUT'!H149*'DATA INPUT'!I149)^0.8272,FALSE)))))</f>
        <v>0</v>
      </c>
      <c r="S145" s="3" t="b">
        <f>IF('DATA INPUT'!B149="T. ser",0.0005*I145^0.5148,IF('DATA INPUT'!B149="S. mel",0.051*I145^0.7789/1000,IF('DATA INPUT'!B149="V. ref",0.0958*I145^0.7253/1000,IF('DATA INPUT'!B149=1,0.0426*I145^0.786/1000,IF('DATA INPUT'!B149=2,0.0005*I145^0.5148,FALSE)))))</f>
        <v>0</v>
      </c>
      <c r="T145" s="59">
        <f t="shared" si="16"/>
        <v>0</v>
      </c>
    </row>
    <row r="146" spans="1:25" x14ac:dyDescent="0.2">
      <c r="A146" s="218">
        <f>'DATA INPUT'!C150</f>
        <v>0</v>
      </c>
      <c r="B146" s="11" t="b">
        <f>IF('DATA INPUT'!B150="T. ser",0.1656*'DATA INPUT'!D150^1.4655,IF('DATA INPUT'!B150="S. mel",135.53*'DATA INPUT'!D150^3.8701/1000,IF('DATA INPUT'!B150="V. ref",143.01*'DATA INPUT'!D150^3.3147/1000,IF('DATA INPUT'!B150=1,143.35*'DATA INPUT'!D150^3.6046/1000,IF('DATA INPUT'!B150=2,0.1656*'DATA INPUT'!D150^1.4655,FALSE)))))</f>
        <v>0</v>
      </c>
      <c r="C146" s="8" t="b">
        <f>IF('DATA INPUT'!B150="T. ser",0.3356*'DATA INPUT'!E150^0.9984,IF('DATA INPUT'!B150="S. mel",24.906*'DATA INPUT'!E150^4.7681/1000,IF('DATA INPUT'!B150="V. ref",118.45*'DATA INPUT'!E150^3.5959/1000,IF('DATA INPUT'!B150=1,55.075*'DATA INPUT'!E150^4.0991/1000,IF('DATA INPUT'!B150=2,0.3356*'DATA INPUT'!E150^0.9984,FALSE)))))</f>
        <v>0</v>
      </c>
      <c r="D146" s="18" t="b">
        <f>IF('DATA INPUT'!B150="T. ser",0.0615*('DATA INPUT'!F150*'DATA INPUT'!G150)^0.9573,IF('DATA INPUT'!B150="S. mel",46.162*('DATA INPUT'!F150*'DATA INPUT'!G150)^2.3652/1000,IF('DATA INPUT'!B150="V. ref",90.34*('DATA INPUT'!F150*'DATA INPUT'!G150)^1.9756/1000,IF('DATA INPUT'!B150=1,63.022*('DATA INPUT'!F150*'DATA INPUT'!G150)^2.1551/1000,IF('DATA INPUT'!B150=2,0.0615*('DATA INPUT'!F150*'DATA INPUT'!G150)^0.9573,FALSE)))))</f>
        <v>0</v>
      </c>
      <c r="E146" s="8" t="b">
        <f>IF('DATA INPUT'!B150="T. ser",5.0562*('DATA INPUT'!H150*'DATA INPUT'!I150)^0.9574,IF('DATA INPUT'!B150="S. mel",44047*('DATA INPUT'!H150*'DATA INPUT'!I150)^1.5456/1000,IF('DATA INPUT'!B150="V. ref",91930*('DATA INPUT'!H150*'DATA INPUT'!I150)^1.7774/1000,IF('DATA INPUT'!B150=1,62601*('DATA INPUT'!H150*'DATA INPUT'!I150)^1.6463/1000,IF('DATA INPUT'!B150=2,5.0562*('DATA INPUT'!H150*'DATA INPUT'!I150)^0.9574,FALSE)))))</f>
        <v>0</v>
      </c>
      <c r="F146" s="18" t="b">
        <f>IF('DATA INPUT'!B150="T. ser",0.0009*I146^0.4477,IF('DATA INPUT'!B150="S. mel",0.0000004*I146^1.4912/1000,IF('DATA INPUT'!B150="V. ref",0.00000005*I146^1.6284/1000,IF('DATA INPUT'!B150=1,0.0000007*I146^1.4601/1000,IF('DATA INPUT'!B150=2,0.0009*I146^0.4477,FALSE)))))</f>
        <v>0</v>
      </c>
      <c r="G146" s="57">
        <f t="shared" si="14"/>
        <v>0</v>
      </c>
      <c r="H146" s="57"/>
      <c r="I146" s="2" t="b">
        <f>IF('DATA INPUT'!B150="T. ser",3.142*'DATA INPUT'!N150^2*'DATA INPUT'!O150/3+3.142*'DATA INPUT'!P150^2/3*(3*'DATA INPUT'!N150-'DATA INPUT'!P150),IF('DATA INPUT'!B150="S. mel",3.142*'DATA INPUT'!N150^2*'DATA INPUT'!O150/3+3.142*'DATA INPUT'!P150^2/3*(3*'DATA INPUT'!N150-'DATA INPUT'!P150),IF('DATA INPUT'!B150="V. ref",3.142*'DATA INPUT'!N150^2*'DATA INPUT'!O150/3+3.142*'DATA INPUT'!P150^2/3*(3*'DATA INPUT'!N150-'DATA INPUT'!P150),IF('DATA INPUT'!B150=1,3.142*'DATA INPUT'!N150^2*'DATA INPUT'!O150/3+3.142*'DATA INPUT'!P150^2/3*(3*'DATA INPUT'!N150-'DATA INPUT'!P150),IF('DATA INPUT'!B150=2,3.142*'DATA INPUT'!N150^2*'DATA INPUT'!O150/3+3.142*'DATA INPUT'!P150^2/3*(3*'DATA INPUT'!N150-'DATA INPUT'!P150),FALSE)))))</f>
        <v>0</v>
      </c>
      <c r="J146" s="2" t="b">
        <f>IF('DATA INPUT'!B150="T. ser",0.0458*CALCULATIONS!I146^0.6841,IF('DATA INPUT'!B150="S. mel",0.6047*CALCULATIONS!I146^0.6433,IF('DATA INPUT'!B150="V. ref",0.77086*CALCULATIONS!I146^0.4936,IF('DATA INPUT'!B150=1,0.68778*CALCULATIONS!I146^0.56845,IF('DATA INPUT'!B150=2,0.0458*CALCULATIONS!I146^0.6841,FALSE)))))</f>
        <v>0</v>
      </c>
      <c r="K146" s="3">
        <f t="shared" si="15"/>
        <v>0</v>
      </c>
      <c r="L146" s="3" t="b">
        <f>IF('DATA INPUT'!B150="T. ser",('DATA INPUT'!D150+'DATA INPUT'!F150+'DATA INPUT'!H150+'DATA INPUT'!J150)/1.5,IF('DATA INPUT'!B150="V. ref",('DATA INPUT'!D150+'DATA INPUT'!F150+'DATA INPUT'!H150+'DATA INPUT'!J150)/1.5,IF('DATA INPUT'!B150="S. mel",('DATA INPUT'!D150+'DATA INPUT'!F150+'DATA INPUT'!H150+'DATA INPUT'!J150)/1.5,IF('DATA INPUT'!B150=1,('DATA INPUT'!D150+'DATA INPUT'!F150+'DATA INPUT'!H150+'DATA INPUT'!J150)/1.5,IF('DATA INPUT'!B150=2,('DATA INPUT'!D150+'DATA INPUT'!F150+'DATA INPUT'!H150+'DATA INPUT'!J150)/1.5,FALSE)))))</f>
        <v>0</v>
      </c>
      <c r="N146" s="16">
        <f>'DATA INPUT'!C150</f>
        <v>0</v>
      </c>
      <c r="O146" s="3" t="b">
        <f>IF('DATA INPUT'!B150="T. ser",0.3446*'DATA INPUT'!D150^1.0619,IF('DATA INPUT'!B150="S. mel",(1270.6*'DATA INPUT'!D150^2.0933)/1000,IF('DATA INPUT'!B150="V. ref",(816.25*'DATA INPUT'!D150^2.1754)/1000,IF('DATA INPUT'!B150=1,(1492.4*'DATA INPUT'!D150^1.7591)/1000,IF('DATA INPUT'!B150=2,0.3446*'DATA INPUT'!D150^1.0619,FALSE)))))</f>
        <v>0</v>
      </c>
      <c r="P146" s="3" t="b">
        <f>IF('DATA INPUT'!B150="T. ser",0.3662*'DATA INPUT'!E150^1.5061,IF('DATA INPUT'!B150="S. mel",(748.47*'DATA INPUT'!E150^2.2691)/1000,IF('DATA INPUT'!B150="V. ref",(953.69*'DATA INPUT'!E150^1.9524)/1000,IF('DATA INPUT'!B150=1,(695.02*'DATA INPUT'!E150^2.3452)/1000,IF('DATA INPUT'!B150=2,0.3662*'DATA INPUT'!E150^1.5061,FALSE)))))</f>
        <v>0</v>
      </c>
      <c r="Q146" s="3" t="b">
        <f>IF('DATA INPUT'!B150="T. ser",0.1225*('DATA INPUT'!F150*'DATA INPUT'!G150)^0.8272,IF('DATA INPUT'!B150="S. mel",(925.08*('DATA INPUT'!F150*'DATA INPUT'!G150)^1.1603)/1000,IF('DATA INPUT'!B150="V. ref",(776.29*('DATA INPUT'!F150*'DATA INPUT'!G150)^1.1226)/1000,IF('DATA INPUT'!B150=1,(884.6*('DATA INPUT'!F150*'DATA INPUT'!G150)^1.129)/1000,IF('DATA INPUT'!B150=2,0.1225*('DATA INPUT'!F150*'DATA INPUT'!G150)^0.8272,FALSE)))))</f>
        <v>0</v>
      </c>
      <c r="R146" s="3" t="b">
        <f>IF('DATA INPUT'!B150="T. ser",5.5287*('DATA INPUT'!H150*'DATA INPUT'!I150)^0.8272,IF('DATA INPUT'!B150="S. mel",(31469*('DATA INPUT'!H150*'DATA INPUT'!I150)^0.8608)/1000,IF('DATA INPUT'!B150="V. ref",(39394*('DATA INPUT'!H150*'DATA INPUT'!I150)^1.005)/1000,IF('DATA INPUT'!B150=1,(31791*('DATA INPUT'!H150*'DATA INPUT'!I150)^0.8467)/1000,IF('DATA INPUT'!B150=2,5.5287*('DATA INPUT'!H150*'DATA INPUT'!I150)^0.8272,FALSE)))))</f>
        <v>0</v>
      </c>
      <c r="S146" s="3" t="b">
        <f>IF('DATA INPUT'!B150="T. ser",0.0005*I146^0.5148,IF('DATA INPUT'!B150="S. mel",0.051*I146^0.7789/1000,IF('DATA INPUT'!B150="V. ref",0.0958*I146^0.7253/1000,IF('DATA INPUT'!B150=1,0.0426*I146^0.786/1000,IF('DATA INPUT'!B150=2,0.0005*I146^0.5148,FALSE)))))</f>
        <v>0</v>
      </c>
      <c r="T146" s="59">
        <f t="shared" si="16"/>
        <v>0</v>
      </c>
    </row>
    <row r="147" spans="1:25" x14ac:dyDescent="0.2">
      <c r="A147" s="218">
        <f>'DATA INPUT'!C151</f>
        <v>0</v>
      </c>
      <c r="B147" s="11" t="b">
        <f>IF('DATA INPUT'!B151="T. ser",0.1656*'DATA INPUT'!D151^1.4655,IF('DATA INPUT'!B151="S. mel",135.53*'DATA INPUT'!D151^3.8701/1000,IF('DATA INPUT'!B151="V. ref",143.01*'DATA INPUT'!D151^3.3147/1000,IF('DATA INPUT'!B151=1,143.35*'DATA INPUT'!D151^3.6046/1000,IF('DATA INPUT'!B151=2,0.1656*'DATA INPUT'!D151^1.4655,FALSE)))))</f>
        <v>0</v>
      </c>
      <c r="C147" s="8" t="b">
        <f>IF('DATA INPUT'!B151="T. ser",0.3356*'DATA INPUT'!E151^0.9984,IF('DATA INPUT'!B151="S. mel",24.906*'DATA INPUT'!E151^4.7681/1000,IF('DATA INPUT'!B151="V. ref",118.45*'DATA INPUT'!E151^3.5959/1000,IF('DATA INPUT'!B151=1,55.075*'DATA INPUT'!E151^4.0991/1000,IF('DATA INPUT'!B151=2,0.3356*'DATA INPUT'!E151^0.9984,FALSE)))))</f>
        <v>0</v>
      </c>
      <c r="D147" s="18" t="b">
        <f>IF('DATA INPUT'!B151="T. ser",0.0615*('DATA INPUT'!F151*'DATA INPUT'!G151)^0.9573,IF('DATA INPUT'!B151="S. mel",46.162*('DATA INPUT'!F151*'DATA INPUT'!G151)^2.3652/1000,IF('DATA INPUT'!B151="V. ref",90.34*('DATA INPUT'!F151*'DATA INPUT'!G151)^1.9756/1000,IF('DATA INPUT'!B151=1,63.022*('DATA INPUT'!F151*'DATA INPUT'!G151)^2.1551/1000,IF('DATA INPUT'!B151=2,0.0615*('DATA INPUT'!F151*'DATA INPUT'!G151)^0.9573,FALSE)))))</f>
        <v>0</v>
      </c>
      <c r="E147" s="8" t="b">
        <f>IF('DATA INPUT'!B151="T. ser",5.0562*('DATA INPUT'!H151*'DATA INPUT'!I151)^0.9574,IF('DATA INPUT'!B151="S. mel",44047*('DATA INPUT'!H151*'DATA INPUT'!I151)^1.5456/1000,IF('DATA INPUT'!B151="V. ref",91930*('DATA INPUT'!H151*'DATA INPUT'!I151)^1.7774/1000,IF('DATA INPUT'!B151=1,62601*('DATA INPUT'!H151*'DATA INPUT'!I151)^1.6463/1000,IF('DATA INPUT'!B151=2,5.0562*('DATA INPUT'!H151*'DATA INPUT'!I151)^0.9574,FALSE)))))</f>
        <v>0</v>
      </c>
      <c r="F147" s="18" t="b">
        <f>IF('DATA INPUT'!B151="T. ser",0.0009*I147^0.4477,IF('DATA INPUT'!B151="S. mel",0.0000004*I147^1.4912/1000,IF('DATA INPUT'!B151="V. ref",0.00000005*I147^1.6284/1000,IF('DATA INPUT'!B151=1,0.0000007*I147^1.4601/1000,IF('DATA INPUT'!B151=2,0.0009*I147^0.4477,FALSE)))))</f>
        <v>0</v>
      </c>
      <c r="G147" s="57">
        <f t="shared" si="14"/>
        <v>0</v>
      </c>
      <c r="H147" s="57"/>
      <c r="I147" s="2" t="b">
        <f>IF('DATA INPUT'!B151="T. ser",3.142*'DATA INPUT'!N151^2*'DATA INPUT'!O151/3+3.142*'DATA INPUT'!P151^2/3*(3*'DATA INPUT'!N151-'DATA INPUT'!P151),IF('DATA INPUT'!B151="S. mel",3.142*'DATA INPUT'!N151^2*'DATA INPUT'!O151/3+3.142*'DATA INPUT'!P151^2/3*(3*'DATA INPUT'!N151-'DATA INPUT'!P151),IF('DATA INPUT'!B151="V. ref",3.142*'DATA INPUT'!N151^2*'DATA INPUT'!O151/3+3.142*'DATA INPUT'!P151^2/3*(3*'DATA INPUT'!N151-'DATA INPUT'!P151),IF('DATA INPUT'!B151=1,3.142*'DATA INPUT'!N151^2*'DATA INPUT'!O151/3+3.142*'DATA INPUT'!P151^2/3*(3*'DATA INPUT'!N151-'DATA INPUT'!P151),IF('DATA INPUT'!B151=2,3.142*'DATA INPUT'!N151^2*'DATA INPUT'!O151/3+3.142*'DATA INPUT'!P151^2/3*(3*'DATA INPUT'!N151-'DATA INPUT'!P151),FALSE)))))</f>
        <v>0</v>
      </c>
      <c r="J147" s="2" t="b">
        <f>IF('DATA INPUT'!B151="T. ser",0.0458*CALCULATIONS!I147^0.6841,IF('DATA INPUT'!B151="S. mel",0.6047*CALCULATIONS!I147^0.6433,IF('DATA INPUT'!B151="V. ref",0.77086*CALCULATIONS!I147^0.4936,IF('DATA INPUT'!B151=1,0.68778*CALCULATIONS!I147^0.56845,IF('DATA INPUT'!B151=2,0.0458*CALCULATIONS!I147^0.6841,FALSE)))))</f>
        <v>0</v>
      </c>
      <c r="K147" s="3">
        <f t="shared" si="15"/>
        <v>0</v>
      </c>
      <c r="L147" s="3" t="b">
        <f>IF('DATA INPUT'!B151="T. ser",('DATA INPUT'!D151+'DATA INPUT'!F151+'DATA INPUT'!H151+'DATA INPUT'!J151)/1.5,IF('DATA INPUT'!B151="V. ref",('DATA INPUT'!D151+'DATA INPUT'!F151+'DATA INPUT'!H151+'DATA INPUT'!J151)/1.5,IF('DATA INPUT'!B151="S. mel",('DATA INPUT'!D151+'DATA INPUT'!F151+'DATA INPUT'!H151+'DATA INPUT'!J151)/1.5,IF('DATA INPUT'!B151=1,('DATA INPUT'!D151+'DATA INPUT'!F151+'DATA INPUT'!H151+'DATA INPUT'!J151)/1.5,IF('DATA INPUT'!B151=2,('DATA INPUT'!D151+'DATA INPUT'!F151+'DATA INPUT'!H151+'DATA INPUT'!J151)/1.5,FALSE)))))</f>
        <v>0</v>
      </c>
      <c r="N147" s="16">
        <f>'DATA INPUT'!C151</f>
        <v>0</v>
      </c>
      <c r="O147" s="3" t="b">
        <f>IF('DATA INPUT'!B151="T. ser",0.3446*'DATA INPUT'!D151^1.0619,IF('DATA INPUT'!B151="S. mel",(1270.6*'DATA INPUT'!D151^2.0933)/1000,IF('DATA INPUT'!B151="V. ref",(816.25*'DATA INPUT'!D151^2.1754)/1000,IF('DATA INPUT'!B151=1,(1492.4*'DATA INPUT'!D151^1.7591)/1000,IF('DATA INPUT'!B151=2,0.3446*'DATA INPUT'!D151^1.0619,FALSE)))))</f>
        <v>0</v>
      </c>
      <c r="P147" s="3" t="b">
        <f>IF('DATA INPUT'!B151="T. ser",0.3662*'DATA INPUT'!E151^1.5061,IF('DATA INPUT'!B151="S. mel",(748.47*'DATA INPUT'!E151^2.2691)/1000,IF('DATA INPUT'!B151="V. ref",(953.69*'DATA INPUT'!E151^1.9524)/1000,IF('DATA INPUT'!B151=1,(695.02*'DATA INPUT'!E151^2.3452)/1000,IF('DATA INPUT'!B151=2,0.3662*'DATA INPUT'!E151^1.5061,FALSE)))))</f>
        <v>0</v>
      </c>
      <c r="Q147" s="3" t="b">
        <f>IF('DATA INPUT'!B151="T. ser",0.1225*('DATA INPUT'!F151*'DATA INPUT'!G151)^0.8272,IF('DATA INPUT'!B151="S. mel",(925.08*('DATA INPUT'!F151*'DATA INPUT'!G151)^1.1603)/1000,IF('DATA INPUT'!B151="V. ref",(776.29*('DATA INPUT'!F151*'DATA INPUT'!G151)^1.1226)/1000,IF('DATA INPUT'!B151=1,(884.6*('DATA INPUT'!F151*'DATA INPUT'!G151)^1.129)/1000,IF('DATA INPUT'!B151=2,0.1225*('DATA INPUT'!F151*'DATA INPUT'!G151)^0.8272,FALSE)))))</f>
        <v>0</v>
      </c>
      <c r="R147" s="3" t="b">
        <f>IF('DATA INPUT'!B151="T. ser",5.5287*('DATA INPUT'!H151*'DATA INPUT'!I151)^0.8272,IF('DATA INPUT'!B151="S. mel",(31469*('DATA INPUT'!H151*'DATA INPUT'!I151)^0.8608)/1000,IF('DATA INPUT'!B151="V. ref",(39394*('DATA INPUT'!H151*'DATA INPUT'!I151)^1.005)/1000,IF('DATA INPUT'!B151=1,(31791*('DATA INPUT'!H151*'DATA INPUT'!I151)^0.8467)/1000,IF('DATA INPUT'!B151=2,5.5287*('DATA INPUT'!H151*'DATA INPUT'!I151)^0.8272,FALSE)))))</f>
        <v>0</v>
      </c>
      <c r="S147" s="3" t="b">
        <f>IF('DATA INPUT'!B151="T. ser",0.0005*I147^0.5148,IF('DATA INPUT'!B151="S. mel",0.051*I147^0.7789/1000,IF('DATA INPUT'!B151="V. ref",0.0958*I147^0.7253/1000,IF('DATA INPUT'!B151=1,0.0426*I147^0.786/1000,IF('DATA INPUT'!B151=2,0.0005*I147^0.5148,FALSE)))))</f>
        <v>0</v>
      </c>
      <c r="T147" s="59">
        <f t="shared" si="16"/>
        <v>0</v>
      </c>
    </row>
    <row r="148" spans="1:25" x14ac:dyDescent="0.2">
      <c r="A148" s="218">
        <f>'DATA INPUT'!C152</f>
        <v>0</v>
      </c>
      <c r="B148" s="11" t="b">
        <f>IF('DATA INPUT'!B152="T. ser",0.1656*'DATA INPUT'!D152^1.4655,IF('DATA INPUT'!B152="S. mel",135.53*'DATA INPUT'!D152^3.8701/1000,IF('DATA INPUT'!B152="V. ref",143.01*'DATA INPUT'!D152^3.3147/1000,IF('DATA INPUT'!B152=1,143.35*'DATA INPUT'!D152^3.6046/1000,IF('DATA INPUT'!B152=2,0.1656*'DATA INPUT'!D152^1.4655,FALSE)))))</f>
        <v>0</v>
      </c>
      <c r="C148" s="8" t="b">
        <f>IF('DATA INPUT'!B152="T. ser",0.3356*'DATA INPUT'!E152^0.9984,IF('DATA INPUT'!B152="S. mel",24.906*'DATA INPUT'!E152^4.7681/1000,IF('DATA INPUT'!B152="V. ref",118.45*'DATA INPUT'!E152^3.5959/1000,IF('DATA INPUT'!B152=1,55.075*'DATA INPUT'!E152^4.0991/1000,IF('DATA INPUT'!B152=2,0.3356*'DATA INPUT'!E152^0.9984,FALSE)))))</f>
        <v>0</v>
      </c>
      <c r="D148" s="18" t="b">
        <f>IF('DATA INPUT'!B152="T. ser",0.0615*('DATA INPUT'!F152*'DATA INPUT'!G152)^0.9573,IF('DATA INPUT'!B152="S. mel",46.162*('DATA INPUT'!F152*'DATA INPUT'!G152)^2.3652/1000,IF('DATA INPUT'!B152="V. ref",90.34*('DATA INPUT'!F152*'DATA INPUT'!G152)^1.9756/1000,IF('DATA INPUT'!B152=1,63.022*('DATA INPUT'!F152*'DATA INPUT'!G152)^2.1551/1000,IF('DATA INPUT'!B152=2,0.0615*('DATA INPUT'!F152*'DATA INPUT'!G152)^0.9573,FALSE)))))</f>
        <v>0</v>
      </c>
      <c r="E148" s="8" t="b">
        <f>IF('DATA INPUT'!B152="T. ser",5.0562*('DATA INPUT'!H152*'DATA INPUT'!I152)^0.9574,IF('DATA INPUT'!B152="S. mel",44047*('DATA INPUT'!H152*'DATA INPUT'!I152)^1.5456/1000,IF('DATA INPUT'!B152="V. ref",91930*('DATA INPUT'!H152*'DATA INPUT'!I152)^1.7774/1000,IF('DATA INPUT'!B152=1,62601*('DATA INPUT'!H152*'DATA INPUT'!I152)^1.6463/1000,IF('DATA INPUT'!B152=2,5.0562*('DATA INPUT'!H152*'DATA INPUT'!I152)^0.9574,FALSE)))))</f>
        <v>0</v>
      </c>
      <c r="F148" s="18" t="b">
        <f>IF('DATA INPUT'!B152="T. ser",0.0009*I148^0.4477,IF('DATA INPUT'!B152="S. mel",0.0000004*I148^1.4912/1000,IF('DATA INPUT'!B152="V. ref",0.00000005*I148^1.6284/1000,IF('DATA INPUT'!B152=1,0.0000007*I148^1.4601/1000,IF('DATA INPUT'!B152=2,0.0009*I148^0.4477,FALSE)))))</f>
        <v>0</v>
      </c>
      <c r="G148" s="57">
        <f t="shared" si="14"/>
        <v>0</v>
      </c>
      <c r="H148" s="57"/>
      <c r="I148" s="2" t="b">
        <f>IF('DATA INPUT'!B152="T. ser",3.142*'DATA INPUT'!N152^2*'DATA INPUT'!O152/3+3.142*'DATA INPUT'!P152^2/3*(3*'DATA INPUT'!N152-'DATA INPUT'!P152),IF('DATA INPUT'!B152="S. mel",3.142*'DATA INPUT'!N152^2*'DATA INPUT'!O152/3+3.142*'DATA INPUT'!P152^2/3*(3*'DATA INPUT'!N152-'DATA INPUT'!P152),IF('DATA INPUT'!B152="V. ref",3.142*'DATA INPUT'!N152^2*'DATA INPUT'!O152/3+3.142*'DATA INPUT'!P152^2/3*(3*'DATA INPUT'!N152-'DATA INPUT'!P152),IF('DATA INPUT'!B152=1,3.142*'DATA INPUT'!N152^2*'DATA INPUT'!O152/3+3.142*'DATA INPUT'!P152^2/3*(3*'DATA INPUT'!N152-'DATA INPUT'!P152),IF('DATA INPUT'!B152=2,3.142*'DATA INPUT'!N152^2*'DATA INPUT'!O152/3+3.142*'DATA INPUT'!P152^2/3*(3*'DATA INPUT'!N152-'DATA INPUT'!P152),FALSE)))))</f>
        <v>0</v>
      </c>
      <c r="J148" s="2" t="b">
        <f>IF('DATA INPUT'!B152="T. ser",0.0458*CALCULATIONS!I148^0.6841,IF('DATA INPUT'!B152="S. mel",0.6047*CALCULATIONS!I148^0.6433,IF('DATA INPUT'!B152="V. ref",0.77086*CALCULATIONS!I148^0.4936,IF('DATA INPUT'!B152=1,0.68778*CALCULATIONS!I148^0.56845,IF('DATA INPUT'!B152=2,0.0458*CALCULATIONS!I148^0.6841,FALSE)))))</f>
        <v>0</v>
      </c>
      <c r="K148" s="3">
        <f t="shared" si="15"/>
        <v>0</v>
      </c>
      <c r="L148" s="3" t="b">
        <f>IF('DATA INPUT'!B152="T. ser",('DATA INPUT'!D152+'DATA INPUT'!F152+'DATA INPUT'!H152+'DATA INPUT'!J152)/1.5,IF('DATA INPUT'!B152="V. ref",('DATA INPUT'!D152+'DATA INPUT'!F152+'DATA INPUT'!H152+'DATA INPUT'!J152)/1.5,IF('DATA INPUT'!B152="S. mel",('DATA INPUT'!D152+'DATA INPUT'!F152+'DATA INPUT'!H152+'DATA INPUT'!J152)/1.5,IF('DATA INPUT'!B152=1,('DATA INPUT'!D152+'DATA INPUT'!F152+'DATA INPUT'!H152+'DATA INPUT'!J152)/1.5,IF('DATA INPUT'!B152=2,('DATA INPUT'!D152+'DATA INPUT'!F152+'DATA INPUT'!H152+'DATA INPUT'!J152)/1.5,FALSE)))))</f>
        <v>0</v>
      </c>
      <c r="N148" s="16">
        <f>'DATA INPUT'!C152</f>
        <v>0</v>
      </c>
      <c r="O148" s="3" t="b">
        <f>IF('DATA INPUT'!B152="T. ser",0.3446*'DATA INPUT'!D152^1.0619,IF('DATA INPUT'!B152="S. mel",(1270.6*'DATA INPUT'!D152^2.0933)/1000,IF('DATA INPUT'!B152="V. ref",(816.25*'DATA INPUT'!D152^2.1754)/1000,IF('DATA INPUT'!B152=1,(1492.4*'DATA INPUT'!D152^1.7591)/1000,IF('DATA INPUT'!B152=2,0.3446*'DATA INPUT'!D152^1.0619,FALSE)))))</f>
        <v>0</v>
      </c>
      <c r="P148" s="3" t="b">
        <f>IF('DATA INPUT'!B152="T. ser",0.3662*'DATA INPUT'!E152^1.5061,IF('DATA INPUT'!B152="S. mel",(748.47*'DATA INPUT'!E152^2.2691)/1000,IF('DATA INPUT'!B152="V. ref",(953.69*'DATA INPUT'!E152^1.9524)/1000,IF('DATA INPUT'!B152=1,(695.02*'DATA INPUT'!E152^2.3452)/1000,IF('DATA INPUT'!B152=2,0.3662*'DATA INPUT'!E152^1.5061,FALSE)))))</f>
        <v>0</v>
      </c>
      <c r="Q148" s="3" t="b">
        <f>IF('DATA INPUT'!B152="T. ser",0.1225*('DATA INPUT'!F152*'DATA INPUT'!G152)^0.8272,IF('DATA INPUT'!B152="S. mel",(925.08*('DATA INPUT'!F152*'DATA INPUT'!G152)^1.1603)/1000,IF('DATA INPUT'!B152="V. ref",(776.29*('DATA INPUT'!F152*'DATA INPUT'!G152)^1.1226)/1000,IF('DATA INPUT'!B152=1,(884.6*('DATA INPUT'!F152*'DATA INPUT'!G152)^1.129)/1000,IF('DATA INPUT'!B152=2,0.1225*('DATA INPUT'!F152*'DATA INPUT'!G152)^0.8272,FALSE)))))</f>
        <v>0</v>
      </c>
      <c r="R148" s="3" t="b">
        <f>IF('DATA INPUT'!B152="T. ser",5.5287*('DATA INPUT'!H152*'DATA INPUT'!I152)^0.8272,IF('DATA INPUT'!B152="S. mel",(31469*('DATA INPUT'!H152*'DATA INPUT'!I152)^0.8608)/1000,IF('DATA INPUT'!B152="V. ref",(39394*('DATA INPUT'!H152*'DATA INPUT'!I152)^1.005)/1000,IF('DATA INPUT'!B152=1,(31791*('DATA INPUT'!H152*'DATA INPUT'!I152)^0.8467)/1000,IF('DATA INPUT'!B152=2,5.5287*('DATA INPUT'!H152*'DATA INPUT'!I152)^0.8272,FALSE)))))</f>
        <v>0</v>
      </c>
      <c r="S148" s="3" t="b">
        <f>IF('DATA INPUT'!B152="T. ser",0.0005*I148^0.5148,IF('DATA INPUT'!B152="S. mel",0.051*I148^0.7789/1000,IF('DATA INPUT'!B152="V. ref",0.0958*I148^0.7253/1000,IF('DATA INPUT'!B152=1,0.0426*I148^0.786/1000,IF('DATA INPUT'!B152=2,0.0005*I148^0.5148,FALSE)))))</f>
        <v>0</v>
      </c>
      <c r="T148" s="59">
        <f t="shared" si="16"/>
        <v>0</v>
      </c>
    </row>
    <row r="149" spans="1:25" x14ac:dyDescent="0.2">
      <c r="A149" s="218">
        <f>'DATA INPUT'!C153</f>
        <v>0</v>
      </c>
      <c r="B149" s="11" t="b">
        <f>IF('DATA INPUT'!B153="T. ser",0.1656*'DATA INPUT'!D153^1.4655,IF('DATA INPUT'!B153="S. mel",135.53*'DATA INPUT'!D153^3.8701/1000,IF('DATA INPUT'!B153="V. ref",143.01*'DATA INPUT'!D153^3.3147/1000,IF('DATA INPUT'!B153=1,143.35*'DATA INPUT'!D153^3.6046/1000,IF('DATA INPUT'!B153=2,0.1656*'DATA INPUT'!D153^1.4655,FALSE)))))</f>
        <v>0</v>
      </c>
      <c r="C149" s="8" t="b">
        <f>IF('DATA INPUT'!B153="T. ser",0.3356*'DATA INPUT'!E153^0.9984,IF('DATA INPUT'!B153="S. mel",24.906*'DATA INPUT'!E153^4.7681/1000,IF('DATA INPUT'!B153="V. ref",118.45*'DATA INPUT'!E153^3.5959/1000,IF('DATA INPUT'!B153=1,55.075*'DATA INPUT'!E153^4.0991/1000,IF('DATA INPUT'!B153=2,0.3356*'DATA INPUT'!E153^0.9984,FALSE)))))</f>
        <v>0</v>
      </c>
      <c r="D149" s="18" t="b">
        <f>IF('DATA INPUT'!B153="T. ser",0.0615*('DATA INPUT'!F153*'DATA INPUT'!G153)^0.9573,IF('DATA INPUT'!B153="S. mel",46.162*('DATA INPUT'!F153*'DATA INPUT'!G153)^2.3652/1000,IF('DATA INPUT'!B153="V. ref",90.34*('DATA INPUT'!F153*'DATA INPUT'!G153)^1.9756/1000,IF('DATA INPUT'!B153=1,63.022*('DATA INPUT'!F153*'DATA INPUT'!G153)^2.1551/1000,IF('DATA INPUT'!B153=2,0.0615*('DATA INPUT'!F153*'DATA INPUT'!G153)^0.9573,FALSE)))))</f>
        <v>0</v>
      </c>
      <c r="E149" s="8" t="b">
        <f>IF('DATA INPUT'!B153="T. ser",5.0562*('DATA INPUT'!H153*'DATA INPUT'!I153)^0.9574,IF('DATA INPUT'!B153="S. mel",44047*('DATA INPUT'!H153*'DATA INPUT'!I153)^1.5456/1000,IF('DATA INPUT'!B153="V. ref",91930*('DATA INPUT'!H153*'DATA INPUT'!I153)^1.7774/1000,IF('DATA INPUT'!B153=1,62601*('DATA INPUT'!H153*'DATA INPUT'!I153)^1.6463/1000,IF('DATA INPUT'!B153=2,5.0562*('DATA INPUT'!H153*'DATA INPUT'!I153)^0.9574,FALSE)))))</f>
        <v>0</v>
      </c>
      <c r="F149" s="18" t="b">
        <f>IF('DATA INPUT'!B153="T. ser",0.0009*I149^0.4477,IF('DATA INPUT'!B153="S. mel",0.0000004*I149^1.4912/1000,IF('DATA INPUT'!B153="V. ref",0.00000005*I149^1.6284/1000,IF('DATA INPUT'!B153=1,0.0000007*I149^1.4601/1000,IF('DATA INPUT'!B153=2,0.0009*I149^0.4477,FALSE)))))</f>
        <v>0</v>
      </c>
      <c r="G149" s="57">
        <f t="shared" si="14"/>
        <v>0</v>
      </c>
      <c r="H149" s="57"/>
      <c r="I149" s="2" t="b">
        <f>IF('DATA INPUT'!B153="T. ser",3.142*'DATA INPUT'!N153^2*'DATA INPUT'!O153/3+3.142*'DATA INPUT'!P153^2/3*(3*'DATA INPUT'!N153-'DATA INPUT'!P153),IF('DATA INPUT'!B153="S. mel",3.142*'DATA INPUT'!N153^2*'DATA INPUT'!O153/3+3.142*'DATA INPUT'!P153^2/3*(3*'DATA INPUT'!N153-'DATA INPUT'!P153),IF('DATA INPUT'!B153="V. ref",3.142*'DATA INPUT'!N153^2*'DATA INPUT'!O153/3+3.142*'DATA INPUT'!P153^2/3*(3*'DATA INPUT'!N153-'DATA INPUT'!P153),IF('DATA INPUT'!B153=1,3.142*'DATA INPUT'!N153^2*'DATA INPUT'!O153/3+3.142*'DATA INPUT'!P153^2/3*(3*'DATA INPUT'!N153-'DATA INPUT'!P153),IF('DATA INPUT'!B153=2,3.142*'DATA INPUT'!N153^2*'DATA INPUT'!O153/3+3.142*'DATA INPUT'!P153^2/3*(3*'DATA INPUT'!N153-'DATA INPUT'!P153),FALSE)))))</f>
        <v>0</v>
      </c>
      <c r="J149" s="2" t="b">
        <f>IF('DATA INPUT'!B153="T. ser",0.0458*CALCULATIONS!I149^0.6841,IF('DATA INPUT'!B153="S. mel",0.6047*CALCULATIONS!I149^0.6433,IF('DATA INPUT'!B153="V. ref",0.77086*CALCULATIONS!I149^0.4936,IF('DATA INPUT'!B153=1,0.68778*CALCULATIONS!I149^0.56845,IF('DATA INPUT'!B153=2,0.0458*CALCULATIONS!I149^0.6841,FALSE)))))</f>
        <v>0</v>
      </c>
      <c r="K149" s="3">
        <f t="shared" si="15"/>
        <v>0</v>
      </c>
      <c r="L149" s="3" t="b">
        <f>IF('DATA INPUT'!B153="T. ser",('DATA INPUT'!D153+'DATA INPUT'!F153+'DATA INPUT'!H153+'DATA INPUT'!J153)/1.5,IF('DATA INPUT'!B153="V. ref",('DATA INPUT'!D153+'DATA INPUT'!F153+'DATA INPUT'!H153+'DATA INPUT'!J153)/1.5,IF('DATA INPUT'!B153="S. mel",('DATA INPUT'!D153+'DATA INPUT'!F153+'DATA INPUT'!H153+'DATA INPUT'!J153)/1.5,IF('DATA INPUT'!B153=1,('DATA INPUT'!D153+'DATA INPUT'!F153+'DATA INPUT'!H153+'DATA INPUT'!J153)/1.5,IF('DATA INPUT'!B153=2,('DATA INPUT'!D153+'DATA INPUT'!F153+'DATA INPUT'!H153+'DATA INPUT'!J153)/1.5,FALSE)))))</f>
        <v>0</v>
      </c>
      <c r="N149" s="16">
        <f>'DATA INPUT'!C153</f>
        <v>0</v>
      </c>
      <c r="O149" s="3" t="b">
        <f>IF('DATA INPUT'!B153="T. ser",0.3446*'DATA INPUT'!D153^1.0619,IF('DATA INPUT'!B153="S. mel",(1270.6*'DATA INPUT'!D153^2.0933)/1000,IF('DATA INPUT'!B153="V. ref",(816.25*'DATA INPUT'!D153^2.1754)/1000,IF('DATA INPUT'!B153=1,(1492.4*'DATA INPUT'!D153^1.7591)/1000,IF('DATA INPUT'!B153=2,0.3446*'DATA INPUT'!D153^1.0619,FALSE)))))</f>
        <v>0</v>
      </c>
      <c r="P149" s="3" t="b">
        <f>IF('DATA INPUT'!B153="T. ser",0.3662*'DATA INPUT'!E153^1.5061,IF('DATA INPUT'!B153="S. mel",(748.47*'DATA INPUT'!E153^2.2691)/1000,IF('DATA INPUT'!B153="V. ref",(953.69*'DATA INPUT'!E153^1.9524)/1000,IF('DATA INPUT'!B153=1,(695.02*'DATA INPUT'!E153^2.3452)/1000,IF('DATA INPUT'!B153=2,0.3662*'DATA INPUT'!E153^1.5061,FALSE)))))</f>
        <v>0</v>
      </c>
      <c r="Q149" s="3" t="b">
        <f>IF('DATA INPUT'!B153="T. ser",0.1225*('DATA INPUT'!F153*'DATA INPUT'!G153)^0.8272,IF('DATA INPUT'!B153="S. mel",(925.08*('DATA INPUT'!F153*'DATA INPUT'!G153)^1.1603)/1000,IF('DATA INPUT'!B153="V. ref",(776.29*('DATA INPUT'!F153*'DATA INPUT'!G153)^1.1226)/1000,IF('DATA INPUT'!B153=1,(884.6*('DATA INPUT'!F153*'DATA INPUT'!G153)^1.129)/1000,IF('DATA INPUT'!B153=2,0.1225*('DATA INPUT'!F153*'DATA INPUT'!G153)^0.8272,FALSE)))))</f>
        <v>0</v>
      </c>
      <c r="R149" s="3" t="b">
        <f>IF('DATA INPUT'!B153="T. ser",5.5287*('DATA INPUT'!H153*'DATA INPUT'!I153)^0.8272,IF('DATA INPUT'!B153="S. mel",(31469*('DATA INPUT'!H153*'DATA INPUT'!I153)^0.8608)/1000,IF('DATA INPUT'!B153="V. ref",(39394*('DATA INPUT'!H153*'DATA INPUT'!I153)^1.005)/1000,IF('DATA INPUT'!B153=1,(31791*('DATA INPUT'!H153*'DATA INPUT'!I153)^0.8467)/1000,IF('DATA INPUT'!B153=2,5.5287*('DATA INPUT'!H153*'DATA INPUT'!I153)^0.8272,FALSE)))))</f>
        <v>0</v>
      </c>
      <c r="S149" s="3" t="b">
        <f>IF('DATA INPUT'!B153="T. ser",0.0005*I149^0.5148,IF('DATA INPUT'!B153="S. mel",0.051*I149^0.7789/1000,IF('DATA INPUT'!B153="V. ref",0.0958*I149^0.7253/1000,IF('DATA INPUT'!B153=1,0.0426*I149^0.786/1000,IF('DATA INPUT'!B153=2,0.0005*I149^0.5148,FALSE)))))</f>
        <v>0</v>
      </c>
      <c r="T149" s="59">
        <f t="shared" si="16"/>
        <v>0</v>
      </c>
    </row>
    <row r="150" spans="1:25" x14ac:dyDescent="0.2">
      <c r="A150" s="218">
        <f>'DATA INPUT'!C154</f>
        <v>0</v>
      </c>
      <c r="B150" s="11" t="b">
        <f>IF('DATA INPUT'!B154="T. ser",0.1656*'DATA INPUT'!D154^1.4655,IF('DATA INPUT'!B154="S. mel",135.53*'DATA INPUT'!D154^3.8701/1000,IF('DATA INPUT'!B154="V. ref",143.01*'DATA INPUT'!D154^3.3147/1000,IF('DATA INPUT'!B154=1,143.35*'DATA INPUT'!D154^3.6046/1000,IF('DATA INPUT'!B154=2,0.1656*'DATA INPUT'!D154^1.4655,FALSE)))))</f>
        <v>0</v>
      </c>
      <c r="C150" s="8" t="b">
        <f>IF('DATA INPUT'!B154="T. ser",0.3356*'DATA INPUT'!E154^0.9984,IF('DATA INPUT'!B154="S. mel",24.906*'DATA INPUT'!E154^4.7681/1000,IF('DATA INPUT'!B154="V. ref",118.45*'DATA INPUT'!E154^3.5959/1000,IF('DATA INPUT'!B154=1,55.075*'DATA INPUT'!E154^4.0991/1000,IF('DATA INPUT'!B154=2,0.3356*'DATA INPUT'!E154^0.9984,FALSE)))))</f>
        <v>0</v>
      </c>
      <c r="D150" s="18" t="b">
        <f>IF('DATA INPUT'!B154="T. ser",0.0615*('DATA INPUT'!F154*'DATA INPUT'!G154)^0.9573,IF('DATA INPUT'!B154="S. mel",46.162*('DATA INPUT'!F154*'DATA INPUT'!G154)^2.3652/1000,IF('DATA INPUT'!B154="V. ref",90.34*('DATA INPUT'!F154*'DATA INPUT'!G154)^1.9756/1000,IF('DATA INPUT'!B154=1,63.022*('DATA INPUT'!F154*'DATA INPUT'!G154)^2.1551/1000,IF('DATA INPUT'!B154=2,0.0615*('DATA INPUT'!F154*'DATA INPUT'!G154)^0.9573,FALSE)))))</f>
        <v>0</v>
      </c>
      <c r="E150" s="8" t="b">
        <f>IF('DATA INPUT'!B154="T. ser",5.0562*('DATA INPUT'!H154*'DATA INPUT'!I154)^0.9574,IF('DATA INPUT'!B154="S. mel",44047*('DATA INPUT'!H154*'DATA INPUT'!I154)^1.5456/1000,IF('DATA INPUT'!B154="V. ref",91930*('DATA INPUT'!H154*'DATA INPUT'!I154)^1.7774/1000,IF('DATA INPUT'!B154=1,62601*('DATA INPUT'!H154*'DATA INPUT'!I154)^1.6463/1000,IF('DATA INPUT'!B154=2,5.0562*('DATA INPUT'!H154*'DATA INPUT'!I154)^0.9574,FALSE)))))</f>
        <v>0</v>
      </c>
      <c r="F150" s="18" t="b">
        <f>IF('DATA INPUT'!B154="T. ser",0.0009*I150^0.4477,IF('DATA INPUT'!B154="S. mel",0.0000004*I150^1.4912/1000,IF('DATA INPUT'!B154="V. ref",0.00000005*I150^1.6284/1000,IF('DATA INPUT'!B154=1,0.0000007*I150^1.4601/1000,IF('DATA INPUT'!B154=2,0.0009*I150^0.4477,FALSE)))))</f>
        <v>0</v>
      </c>
      <c r="G150" s="57">
        <f t="shared" si="14"/>
        <v>0</v>
      </c>
      <c r="H150" s="57"/>
      <c r="I150" s="2" t="b">
        <f>IF('DATA INPUT'!B154="T. ser",3.142*'DATA INPUT'!N154^2*'DATA INPUT'!O154/3+3.142*'DATA INPUT'!P154^2/3*(3*'DATA INPUT'!N154-'DATA INPUT'!P154),IF('DATA INPUT'!B154="S. mel",3.142*'DATA INPUT'!N154^2*'DATA INPUT'!O154/3+3.142*'DATA INPUT'!P154^2/3*(3*'DATA INPUT'!N154-'DATA INPUT'!P154),IF('DATA INPUT'!B154="V. ref",3.142*'DATA INPUT'!N154^2*'DATA INPUT'!O154/3+3.142*'DATA INPUT'!P154^2/3*(3*'DATA INPUT'!N154-'DATA INPUT'!P154),IF('DATA INPUT'!B154=1,3.142*'DATA INPUT'!N154^2*'DATA INPUT'!O154/3+3.142*'DATA INPUT'!P154^2/3*(3*'DATA INPUT'!N154-'DATA INPUT'!P154),IF('DATA INPUT'!B154=2,3.142*'DATA INPUT'!N154^2*'DATA INPUT'!O154/3+3.142*'DATA INPUT'!P154^2/3*(3*'DATA INPUT'!N154-'DATA INPUT'!P154),FALSE)))))</f>
        <v>0</v>
      </c>
      <c r="J150" s="2" t="b">
        <f>IF('DATA INPUT'!B154="T. ser",0.0458*CALCULATIONS!I150^0.6841,IF('DATA INPUT'!B154="S. mel",0.6047*CALCULATIONS!I150^0.6433,IF('DATA INPUT'!B154="V. ref",0.77086*CALCULATIONS!I150^0.4936,IF('DATA INPUT'!B154=1,0.68778*CALCULATIONS!I150^0.56845,IF('DATA INPUT'!B154=2,0.0458*CALCULATIONS!I150^0.6841,FALSE)))))</f>
        <v>0</v>
      </c>
      <c r="K150" s="3">
        <f t="shared" si="15"/>
        <v>0</v>
      </c>
      <c r="L150" s="3" t="b">
        <f>IF('DATA INPUT'!B154="T. ser",('DATA INPUT'!D154+'DATA INPUT'!F154+'DATA INPUT'!H154+'DATA INPUT'!J154)/1.5,IF('DATA INPUT'!B154="V. ref",('DATA INPUT'!D154+'DATA INPUT'!F154+'DATA INPUT'!H154+'DATA INPUT'!J154)/1.5,IF('DATA INPUT'!B154="S. mel",('DATA INPUT'!D154+'DATA INPUT'!F154+'DATA INPUT'!H154+'DATA INPUT'!J154)/1.5,IF('DATA INPUT'!B154=1,('DATA INPUT'!D154+'DATA INPUT'!F154+'DATA INPUT'!H154+'DATA INPUT'!J154)/1.5,IF('DATA INPUT'!B154=2,('DATA INPUT'!D154+'DATA INPUT'!F154+'DATA INPUT'!H154+'DATA INPUT'!J154)/1.5,FALSE)))))</f>
        <v>0</v>
      </c>
      <c r="N150" s="16">
        <f>'DATA INPUT'!C154</f>
        <v>0</v>
      </c>
      <c r="O150" s="3" t="b">
        <f>IF('DATA INPUT'!B154="T. ser",0.3446*'DATA INPUT'!D154^1.0619,IF('DATA INPUT'!B154="S. mel",(1270.6*'DATA INPUT'!D154^2.0933)/1000,IF('DATA INPUT'!B154="V. ref",(816.25*'DATA INPUT'!D154^2.1754)/1000,IF('DATA INPUT'!B154=1,(1492.4*'DATA INPUT'!D154^1.7591)/1000,IF('DATA INPUT'!B154=2,0.3446*'DATA INPUT'!D154^1.0619,FALSE)))))</f>
        <v>0</v>
      </c>
      <c r="P150" s="3" t="b">
        <f>IF('DATA INPUT'!B154="T. ser",0.3662*'DATA INPUT'!E154^1.5061,IF('DATA INPUT'!B154="S. mel",(748.47*'DATA INPUT'!E154^2.2691)/1000,IF('DATA INPUT'!B154="V. ref",(953.69*'DATA INPUT'!E154^1.9524)/1000,IF('DATA INPUT'!B154=1,(695.02*'DATA INPUT'!E154^2.3452)/1000,IF('DATA INPUT'!B154=2,0.3662*'DATA INPUT'!E154^1.5061,FALSE)))))</f>
        <v>0</v>
      </c>
      <c r="Q150" s="3" t="b">
        <f>IF('DATA INPUT'!B154="T. ser",0.1225*('DATA INPUT'!F154*'DATA INPUT'!G154)^0.8272,IF('DATA INPUT'!B154="S. mel",(925.08*('DATA INPUT'!F154*'DATA INPUT'!G154)^1.1603)/1000,IF('DATA INPUT'!B154="V. ref",(776.29*('DATA INPUT'!F154*'DATA INPUT'!G154)^1.1226)/1000,IF('DATA INPUT'!B154=1,(884.6*('DATA INPUT'!F154*'DATA INPUT'!G154)^1.129)/1000,IF('DATA INPUT'!B154=2,0.1225*('DATA INPUT'!F154*'DATA INPUT'!G154)^0.8272,FALSE)))))</f>
        <v>0</v>
      </c>
      <c r="R150" s="3" t="b">
        <f>IF('DATA INPUT'!B154="T. ser",5.5287*('DATA INPUT'!H154*'DATA INPUT'!I154)^0.8272,IF('DATA INPUT'!B154="S. mel",(31469*('DATA INPUT'!H154*'DATA INPUT'!I154)^0.8608)/1000,IF('DATA INPUT'!B154="V. ref",(39394*('DATA INPUT'!H154*'DATA INPUT'!I154)^1.005)/1000,IF('DATA INPUT'!B154=1,(31791*('DATA INPUT'!H154*'DATA INPUT'!I154)^0.8467)/1000,IF('DATA INPUT'!B154=2,5.5287*('DATA INPUT'!H154*'DATA INPUT'!I154)^0.8272,FALSE)))))</f>
        <v>0</v>
      </c>
      <c r="S150" s="3" t="b">
        <f>IF('DATA INPUT'!B154="T. ser",0.0005*I150^0.5148,IF('DATA INPUT'!B154="S. mel",0.051*I150^0.7789/1000,IF('DATA INPUT'!B154="V. ref",0.0958*I150^0.7253/1000,IF('DATA INPUT'!B154=1,0.0426*I150^0.786/1000,IF('DATA INPUT'!B154=2,0.0005*I150^0.5148,FALSE)))))</f>
        <v>0</v>
      </c>
      <c r="T150" s="59">
        <f t="shared" si="16"/>
        <v>0</v>
      </c>
    </row>
    <row r="151" spans="1:25" x14ac:dyDescent="0.2">
      <c r="A151" s="218">
        <f>'DATA INPUT'!C155</f>
        <v>0</v>
      </c>
      <c r="B151" s="11" t="b">
        <f>IF('DATA INPUT'!B155="T. ser",0.1656*'DATA INPUT'!D155^1.4655,IF('DATA INPUT'!B155="S. mel",135.53*'DATA INPUT'!D155^3.8701/1000,IF('DATA INPUT'!B155="V. ref",143.01*'DATA INPUT'!D155^3.3147/1000,IF('DATA INPUT'!B155=1,143.35*'DATA INPUT'!D155^3.6046/1000,IF('DATA INPUT'!B155=2,0.1656*'DATA INPUT'!D155^1.4655,FALSE)))))</f>
        <v>0</v>
      </c>
      <c r="C151" s="8" t="b">
        <f>IF('DATA INPUT'!B155="T. ser",0.3356*'DATA INPUT'!E155^0.9984,IF('DATA INPUT'!B155="S. mel",24.906*'DATA INPUT'!E155^4.7681/1000,IF('DATA INPUT'!B155="V. ref",118.45*'DATA INPUT'!E155^3.5959/1000,IF('DATA INPUT'!B155=1,55.075*'DATA INPUT'!E155^4.0991/1000,IF('DATA INPUT'!B155=2,0.3356*'DATA INPUT'!E155^0.9984,FALSE)))))</f>
        <v>0</v>
      </c>
      <c r="D151" s="18" t="b">
        <f>IF('DATA INPUT'!B155="T. ser",0.0615*('DATA INPUT'!F155*'DATA INPUT'!G155)^0.9573,IF('DATA INPUT'!B155="S. mel",46.162*('DATA INPUT'!F155*'DATA INPUT'!G155)^2.3652/1000,IF('DATA INPUT'!B155="V. ref",90.34*('DATA INPUT'!F155*'DATA INPUT'!G155)^1.9756/1000,IF('DATA INPUT'!B155=1,63.022*('DATA INPUT'!F155*'DATA INPUT'!G155)^2.1551/1000,IF('DATA INPUT'!B155=2,0.0615*('DATA INPUT'!F155*'DATA INPUT'!G155)^0.9573,FALSE)))))</f>
        <v>0</v>
      </c>
      <c r="E151" s="8" t="b">
        <f>IF('DATA INPUT'!B155="T. ser",5.0562*('DATA INPUT'!H155*'DATA INPUT'!I155)^0.9574,IF('DATA INPUT'!B155="S. mel",44047*('DATA INPUT'!H155*'DATA INPUT'!I155)^1.5456/1000,IF('DATA INPUT'!B155="V. ref",91930*('DATA INPUT'!H155*'DATA INPUT'!I155)^1.7774/1000,IF('DATA INPUT'!B155=1,62601*('DATA INPUT'!H155*'DATA INPUT'!I155)^1.6463/1000,IF('DATA INPUT'!B155=2,5.0562*('DATA INPUT'!H155*'DATA INPUT'!I155)^0.9574,FALSE)))))</f>
        <v>0</v>
      </c>
      <c r="F151" s="18" t="b">
        <f>IF('DATA INPUT'!B155="T. ser",0.0009*I151^0.4477,IF('DATA INPUT'!B155="S. mel",0.0000004*I151^1.4912/1000,IF('DATA INPUT'!B155="V. ref",0.00000005*I151^1.6284/1000,IF('DATA INPUT'!B155=1,0.0000007*I151^1.4601/1000,IF('DATA INPUT'!B155=2,0.0009*I151^0.4477,FALSE)))))</f>
        <v>0</v>
      </c>
      <c r="G151" s="57">
        <f t="shared" si="14"/>
        <v>0</v>
      </c>
      <c r="H151" s="57"/>
      <c r="I151" s="2" t="b">
        <f>IF('DATA INPUT'!B155="T. ser",3.142*'DATA INPUT'!N155^2*'DATA INPUT'!O155/3+3.142*'DATA INPUT'!P155^2/3*(3*'DATA INPUT'!N155-'DATA INPUT'!P155),IF('DATA INPUT'!B155="S. mel",3.142*'DATA INPUT'!N155^2*'DATA INPUT'!O155/3+3.142*'DATA INPUT'!P155^2/3*(3*'DATA INPUT'!N155-'DATA INPUT'!P155),IF('DATA INPUT'!B155="V. ref",3.142*'DATA INPUT'!N155^2*'DATA INPUT'!O155/3+3.142*'DATA INPUT'!P155^2/3*(3*'DATA INPUT'!N155-'DATA INPUT'!P155),IF('DATA INPUT'!B155=1,3.142*'DATA INPUT'!N155^2*'DATA INPUT'!O155/3+3.142*'DATA INPUT'!P155^2/3*(3*'DATA INPUT'!N155-'DATA INPUT'!P155),IF('DATA INPUT'!B155=2,3.142*'DATA INPUT'!N155^2*'DATA INPUT'!O155/3+3.142*'DATA INPUT'!P155^2/3*(3*'DATA INPUT'!N155-'DATA INPUT'!P155),FALSE)))))</f>
        <v>0</v>
      </c>
      <c r="J151" s="2" t="b">
        <f>IF('DATA INPUT'!B155="T. ser",0.0458*CALCULATIONS!I151^0.6841,IF('DATA INPUT'!B155="S. mel",0.6047*CALCULATIONS!I151^0.6433,IF('DATA INPUT'!B155="V. ref",0.77086*CALCULATIONS!I151^0.4936,IF('DATA INPUT'!B155=1,0.68778*CALCULATIONS!I151^0.56845,IF('DATA INPUT'!B155=2,0.0458*CALCULATIONS!I151^0.6841,FALSE)))))</f>
        <v>0</v>
      </c>
      <c r="K151" s="3">
        <f t="shared" si="15"/>
        <v>0</v>
      </c>
      <c r="L151" s="3" t="b">
        <f>IF('DATA INPUT'!B155="T. ser",('DATA INPUT'!D155+'DATA INPUT'!F155+'DATA INPUT'!H155+'DATA INPUT'!J155)/1.5,IF('DATA INPUT'!B155="V. ref",('DATA INPUT'!D155+'DATA INPUT'!F155+'DATA INPUT'!H155+'DATA INPUT'!J155)/1.5,IF('DATA INPUT'!B155="S. mel",('DATA INPUT'!D155+'DATA INPUT'!F155+'DATA INPUT'!H155+'DATA INPUT'!J155)/1.5,IF('DATA INPUT'!B155=1,('DATA INPUT'!D155+'DATA INPUT'!F155+'DATA INPUT'!H155+'DATA INPUT'!J155)/1.5,IF('DATA INPUT'!B155=2,('DATA INPUT'!D155+'DATA INPUT'!F155+'DATA INPUT'!H155+'DATA INPUT'!J155)/1.5,FALSE)))))</f>
        <v>0</v>
      </c>
      <c r="N151" s="16">
        <f>'DATA INPUT'!C155</f>
        <v>0</v>
      </c>
      <c r="O151" s="3" t="b">
        <f>IF('DATA INPUT'!B155="T. ser",0.3446*'DATA INPUT'!D155^1.0619,IF('DATA INPUT'!B155="S. mel",(1270.6*'DATA INPUT'!D155^2.0933)/1000,IF('DATA INPUT'!B155="V. ref",(816.25*'DATA INPUT'!D155^2.1754)/1000,IF('DATA INPUT'!B155=1,(1492.4*'DATA INPUT'!D155^1.7591)/1000,IF('DATA INPUT'!B155=2,0.3446*'DATA INPUT'!D155^1.0619,FALSE)))))</f>
        <v>0</v>
      </c>
      <c r="P151" s="3" t="b">
        <f>IF('DATA INPUT'!B155="T. ser",0.3662*'DATA INPUT'!E155^1.5061,IF('DATA INPUT'!B155="S. mel",(748.47*'DATA INPUT'!E155^2.2691)/1000,IF('DATA INPUT'!B155="V. ref",(953.69*'DATA INPUT'!E155^1.9524)/1000,IF('DATA INPUT'!B155=1,(695.02*'DATA INPUT'!E155^2.3452)/1000,IF('DATA INPUT'!B155=2,0.3662*'DATA INPUT'!E155^1.5061,FALSE)))))</f>
        <v>0</v>
      </c>
      <c r="Q151" s="3" t="b">
        <f>IF('DATA INPUT'!B155="T. ser",0.1225*('DATA INPUT'!F155*'DATA INPUT'!G155)^0.8272,IF('DATA INPUT'!B155="S. mel",(925.08*('DATA INPUT'!F155*'DATA INPUT'!G155)^1.1603)/1000,IF('DATA INPUT'!B155="V. ref",(776.29*('DATA INPUT'!F155*'DATA INPUT'!G155)^1.1226)/1000,IF('DATA INPUT'!B155=1,(884.6*('DATA INPUT'!F155*'DATA INPUT'!G155)^1.129)/1000,IF('DATA INPUT'!B155=2,0.1225*('DATA INPUT'!F155*'DATA INPUT'!G155)^0.8272,FALSE)))))</f>
        <v>0</v>
      </c>
      <c r="R151" s="3" t="b">
        <f>IF('DATA INPUT'!B155="T. ser",5.5287*('DATA INPUT'!H155*'DATA INPUT'!I155)^0.8272,IF('DATA INPUT'!B155="S. mel",(31469*('DATA INPUT'!H155*'DATA INPUT'!I155)^0.8608)/1000,IF('DATA INPUT'!B155="V. ref",(39394*('DATA INPUT'!H155*'DATA INPUT'!I155)^1.005)/1000,IF('DATA INPUT'!B155=1,(31791*('DATA INPUT'!H155*'DATA INPUT'!I155)^0.8467)/1000,IF('DATA INPUT'!B155=2,5.5287*('DATA INPUT'!H155*'DATA INPUT'!I155)^0.8272,FALSE)))))</f>
        <v>0</v>
      </c>
      <c r="S151" s="3" t="b">
        <f>IF('DATA INPUT'!B155="T. ser",0.0005*I151^0.5148,IF('DATA INPUT'!B155="S. mel",0.051*I151^0.7789/1000,IF('DATA INPUT'!B155="V. ref",0.0958*I151^0.7253/1000,IF('DATA INPUT'!B155=1,0.0426*I151^0.786/1000,IF('DATA INPUT'!B155=2,0.0005*I151^0.5148,FALSE)))))</f>
        <v>0</v>
      </c>
      <c r="T151" s="59">
        <f t="shared" si="16"/>
        <v>0</v>
      </c>
    </row>
    <row r="152" spans="1:25" ht="16" thickBot="1" x14ac:dyDescent="0.25">
      <c r="A152" s="218">
        <f>'DATA INPUT'!C156</f>
        <v>0</v>
      </c>
      <c r="B152" s="11" t="b">
        <f>IF('DATA INPUT'!B156="T. ser",0.1656*'DATA INPUT'!D156^1.4655,IF('DATA INPUT'!B156="S. mel",135.53*'DATA INPUT'!D156^3.8701/1000,IF('DATA INPUT'!B156="V. ref",143.01*'DATA INPUT'!D156^3.3147/1000,IF('DATA INPUT'!B156=1,143.35*'DATA INPUT'!D156^3.6046/1000,IF('DATA INPUT'!B156=2,0.1656*'DATA INPUT'!D156^1.4655,FALSE)))))</f>
        <v>0</v>
      </c>
      <c r="C152" s="8" t="b">
        <f>IF('DATA INPUT'!B156="T. ser",0.3356*'DATA INPUT'!E156^0.9984,IF('DATA INPUT'!B156="S. mel",24.906*'DATA INPUT'!E156^4.7681/1000,IF('DATA INPUT'!B156="V. ref",118.45*'DATA INPUT'!E156^3.5959/1000,IF('DATA INPUT'!B156=1,55.075*'DATA INPUT'!E156^4.0991/1000,IF('DATA INPUT'!B156=2,0.3356*'DATA INPUT'!E156^0.9984,FALSE)))))</f>
        <v>0</v>
      </c>
      <c r="D152" s="18" t="b">
        <f>IF('DATA INPUT'!B156="T. ser",0.0615*('DATA INPUT'!F156*'DATA INPUT'!G156)^0.9573,IF('DATA INPUT'!B156="S. mel",46.162*('DATA INPUT'!F156*'DATA INPUT'!G156)^2.3652/1000,IF('DATA INPUT'!B156="V. ref",90.34*('DATA INPUT'!F156*'DATA INPUT'!G156)^1.9756/1000,IF('DATA INPUT'!B156=1,63.022*('DATA INPUT'!F156*'DATA INPUT'!G156)^2.1551/1000,IF('DATA INPUT'!B156=2,0.0615*('DATA INPUT'!F156*'DATA INPUT'!G156)^0.9573,FALSE)))))</f>
        <v>0</v>
      </c>
      <c r="E152" s="8" t="b">
        <f>IF('DATA INPUT'!B156="T. ser",5.0562*('DATA INPUT'!H156*'DATA INPUT'!I156)^0.9574,IF('DATA INPUT'!B156="S. mel",44047*('DATA INPUT'!H156*'DATA INPUT'!I156)^1.5456/1000,IF('DATA INPUT'!B156="V. ref",91930*('DATA INPUT'!H156*'DATA INPUT'!I156)^1.7774/1000,IF('DATA INPUT'!B156=1,62601*('DATA INPUT'!H156*'DATA INPUT'!I156)^1.6463/1000,IF('DATA INPUT'!B156=2,5.0562*('DATA INPUT'!H156*'DATA INPUT'!I156)^0.9574,FALSE)))))</f>
        <v>0</v>
      </c>
      <c r="F152" s="18" t="b">
        <f>IF('DATA INPUT'!B156="T. ser",0.0009*I152^0.4477,IF('DATA INPUT'!B156="S. mel",0.0000004*I152^1.4912/1000,IF('DATA INPUT'!B156="V. ref",0.00000005*I152^1.6284/1000,IF('DATA INPUT'!B156=1,0.0000007*I152^1.4601/1000,IF('DATA INPUT'!B156=2,0.0009*I152^0.4477,FALSE)))))</f>
        <v>0</v>
      </c>
      <c r="G152" s="57">
        <f t="shared" si="14"/>
        <v>0</v>
      </c>
      <c r="H152" s="57"/>
      <c r="I152" s="2" t="b">
        <f>IF('DATA INPUT'!B156="T. ser",3.142*'DATA INPUT'!N156^2*'DATA INPUT'!O156/3+3.142*'DATA INPUT'!P156^2/3*(3*'DATA INPUT'!N156-'DATA INPUT'!P156),IF('DATA INPUT'!B156="S. mel",3.142*'DATA INPUT'!N156^2*'DATA INPUT'!O156/3+3.142*'DATA INPUT'!P156^2/3*(3*'DATA INPUT'!N156-'DATA INPUT'!P156),IF('DATA INPUT'!B156="V. ref",3.142*'DATA INPUT'!N156^2*'DATA INPUT'!O156/3+3.142*'DATA INPUT'!P156^2/3*(3*'DATA INPUT'!N156-'DATA INPUT'!P156),IF('DATA INPUT'!B156=1,3.142*'DATA INPUT'!N156^2*'DATA INPUT'!O156/3+3.142*'DATA INPUT'!P156^2/3*(3*'DATA INPUT'!N156-'DATA INPUT'!P156),IF('DATA INPUT'!B156=2,3.142*'DATA INPUT'!N156^2*'DATA INPUT'!O156/3+3.142*'DATA INPUT'!P156^2/3*(3*'DATA INPUT'!N156-'DATA INPUT'!P156),FALSE)))))</f>
        <v>0</v>
      </c>
      <c r="J152" s="2" t="b">
        <f>IF('DATA INPUT'!B156="T. ser",0.0458*CALCULATIONS!I152^0.6841,IF('DATA INPUT'!B156="S. mel",0.6047*CALCULATIONS!I152^0.6433,IF('DATA INPUT'!B156="V. ref",0.77086*CALCULATIONS!I152^0.4936,IF('DATA INPUT'!B156=1,0.68778*CALCULATIONS!I152^0.56845,IF('DATA INPUT'!B156=2,0.0458*CALCULATIONS!I152^0.6841,FALSE)))))</f>
        <v>0</v>
      </c>
      <c r="K152" s="3">
        <f t="shared" si="15"/>
        <v>0</v>
      </c>
      <c r="L152" s="3" t="b">
        <f>IF('DATA INPUT'!B156="T. ser",('DATA INPUT'!D156+'DATA INPUT'!F156+'DATA INPUT'!H156+'DATA INPUT'!J156)/1.5,IF('DATA INPUT'!B156="V. ref",('DATA INPUT'!D156+'DATA INPUT'!F156+'DATA INPUT'!H156+'DATA INPUT'!J156)/1.5,IF('DATA INPUT'!B156="S. mel",('DATA INPUT'!D156+'DATA INPUT'!F156+'DATA INPUT'!H156+'DATA INPUT'!J156)/1.5,IF('DATA INPUT'!B156=1,('DATA INPUT'!D156+'DATA INPUT'!F156+'DATA INPUT'!H156+'DATA INPUT'!J156)/1.5,IF('DATA INPUT'!B156=2,('DATA INPUT'!D156+'DATA INPUT'!F156+'DATA INPUT'!H156+'DATA INPUT'!J156)/1.5,FALSE)))))</f>
        <v>0</v>
      </c>
      <c r="N152" s="16">
        <f>'DATA INPUT'!C156</f>
        <v>0</v>
      </c>
      <c r="O152" s="3" t="b">
        <f>IF('DATA INPUT'!B156="T. ser",0.3446*'DATA INPUT'!D156^1.0619,IF('DATA INPUT'!B156="S. mel",(1270.6*'DATA INPUT'!D156^2.0933)/1000,IF('DATA INPUT'!B156="V. ref",(816.25*'DATA INPUT'!D156^2.1754)/1000,IF('DATA INPUT'!B156=1,(1492.4*'DATA INPUT'!D156^1.7591)/1000,IF('DATA INPUT'!B156=2,0.3446*'DATA INPUT'!D156^1.0619,FALSE)))))</f>
        <v>0</v>
      </c>
      <c r="P152" s="3" t="b">
        <f>IF('DATA INPUT'!B156="T. ser",0.3662*'DATA INPUT'!E156^1.5061,IF('DATA INPUT'!B156="S. mel",(748.47*'DATA INPUT'!E156^2.2691)/1000,IF('DATA INPUT'!B156="V. ref",(953.69*'DATA INPUT'!E156^1.9524)/1000,IF('DATA INPUT'!B156=1,(695.02*'DATA INPUT'!E156^2.3452)/1000,IF('DATA INPUT'!B156=2,0.3662*'DATA INPUT'!E156^1.5061,FALSE)))))</f>
        <v>0</v>
      </c>
      <c r="Q152" s="3" t="b">
        <f>IF('DATA INPUT'!B156="T. ser",0.1225*('DATA INPUT'!F156*'DATA INPUT'!G156)^0.8272,IF('DATA INPUT'!B156="S. mel",(925.08*('DATA INPUT'!F156*'DATA INPUT'!G156)^1.1603)/1000,IF('DATA INPUT'!B156="V. ref",(776.29*('DATA INPUT'!F156*'DATA INPUT'!G156)^1.1226)/1000,IF('DATA INPUT'!B156=1,(884.6*('DATA INPUT'!F156*'DATA INPUT'!G156)^1.129)/1000,IF('DATA INPUT'!B156=2,0.1225*('DATA INPUT'!F156*'DATA INPUT'!G156)^0.8272,FALSE)))))</f>
        <v>0</v>
      </c>
      <c r="R152" s="3" t="b">
        <f>IF('DATA INPUT'!B156="T. ser",5.5287*('DATA INPUT'!H156*'DATA INPUT'!I156)^0.8272,IF('DATA INPUT'!B156="S. mel",(31469*('DATA INPUT'!H156*'DATA INPUT'!I156)^0.8608)/1000,IF('DATA INPUT'!B156="V. ref",(39394*('DATA INPUT'!H156*'DATA INPUT'!I156)^1.005)/1000,IF('DATA INPUT'!B156=1,(31791*('DATA INPUT'!H156*'DATA INPUT'!I156)^0.8467)/1000,IF('DATA INPUT'!B156=2,5.5287*('DATA INPUT'!H156*'DATA INPUT'!I156)^0.8272,FALSE)))))</f>
        <v>0</v>
      </c>
      <c r="S152" s="3" t="b">
        <f>IF('DATA INPUT'!B156="T. ser",0.0005*I152^0.5148,IF('DATA INPUT'!B156="S. mel",0.051*I152^0.7789/1000,IF('DATA INPUT'!B156="V. ref",0.0958*I152^0.7253/1000,IF('DATA INPUT'!B156=1,0.0426*I152^0.786/1000,IF('DATA INPUT'!B156=2,0.0005*I152^0.5148,FALSE)))))</f>
        <v>0</v>
      </c>
      <c r="T152" s="59">
        <f t="shared" si="16"/>
        <v>0</v>
      </c>
    </row>
    <row r="153" spans="1:25" ht="17" thickTop="1" thickBot="1" x14ac:dyDescent="0.25">
      <c r="A153" s="24" t="s">
        <v>29</v>
      </c>
      <c r="B153" s="25">
        <f>SUM(B3:B152)</f>
        <v>0</v>
      </c>
      <c r="C153" s="25">
        <f t="shared" ref="C153:F153" si="17">SUM(C3:C152)</f>
        <v>0</v>
      </c>
      <c r="D153" s="25">
        <f t="shared" si="17"/>
        <v>0</v>
      </c>
      <c r="E153" s="25">
        <f t="shared" si="17"/>
        <v>0</v>
      </c>
      <c r="F153" s="25">
        <f t="shared" si="17"/>
        <v>0</v>
      </c>
      <c r="G153" s="25"/>
      <c r="H153" s="58"/>
      <c r="K153" s="23">
        <f>SUM(K3:K152)</f>
        <v>0</v>
      </c>
      <c r="L153" s="23">
        <f>SUM(L3:L152)</f>
        <v>0</v>
      </c>
      <c r="N153" s="12" t="s">
        <v>29</v>
      </c>
      <c r="O153" s="26">
        <f>SUM(O3:O152)</f>
        <v>0</v>
      </c>
      <c r="P153" s="26">
        <f t="shared" ref="P153:S153" si="18">SUM(P3:P152)</f>
        <v>0</v>
      </c>
      <c r="Q153" s="26">
        <f t="shared" si="18"/>
        <v>0</v>
      </c>
      <c r="R153" s="26">
        <f t="shared" si="18"/>
        <v>0</v>
      </c>
      <c r="S153" s="26">
        <f t="shared" si="18"/>
        <v>0</v>
      </c>
      <c r="T153" s="34"/>
    </row>
    <row r="154" spans="1:25" ht="17" thickTop="1" thickBot="1" x14ac:dyDescent="0.25">
      <c r="A154" s="24" t="s">
        <v>30</v>
      </c>
      <c r="B154" s="25" t="e">
        <f>B153*10000/RESULTS_REPORT!$C18</f>
        <v>#DIV/0!</v>
      </c>
      <c r="C154" s="25" t="e">
        <f>C153*10000/RESULTS_REPORT!$C18</f>
        <v>#DIV/0!</v>
      </c>
      <c r="D154" s="25" t="e">
        <f>D153*10000/RESULTS_REPORT!$C18</f>
        <v>#DIV/0!</v>
      </c>
      <c r="E154" s="25" t="e">
        <f>E153*10000/RESULTS_REPORT!$C18</f>
        <v>#DIV/0!</v>
      </c>
      <c r="F154" s="25" t="e">
        <f>F153*10000/RESULTS_REPORT!$C18</f>
        <v>#DIV/0!</v>
      </c>
      <c r="G154" s="28" t="e">
        <f>SUM(B154:F154)</f>
        <v>#DIV/0!</v>
      </c>
      <c r="H154" s="166"/>
      <c r="K154" s="23" t="e">
        <f>K153*10000/RESULTS_REPORT!C18</f>
        <v>#DIV/0!</v>
      </c>
      <c r="L154" s="23" t="e">
        <f>L153*10000/RESULTS_REPORT!C18</f>
        <v>#DIV/0!</v>
      </c>
      <c r="N154" s="12" t="s">
        <v>30</v>
      </c>
      <c r="O154" s="26" t="e">
        <f>O153*10000/RESULTS_REPORT!$C18</f>
        <v>#DIV/0!</v>
      </c>
      <c r="P154" s="26" t="e">
        <f>P153*10000/RESULTS_REPORT!$C18</f>
        <v>#DIV/0!</v>
      </c>
      <c r="Q154" s="26" t="e">
        <f>Q153*10000/RESULTS_REPORT!$C18</f>
        <v>#DIV/0!</v>
      </c>
      <c r="R154" s="26" t="e">
        <f>R153*10000/RESULTS_REPORT!$C18</f>
        <v>#DIV/0!</v>
      </c>
      <c r="S154" s="26" t="e">
        <f>S153*10000/RESULTS_REPORT!$C18</f>
        <v>#DIV/0!</v>
      </c>
      <c r="T154" s="27" t="e">
        <f>SUM(O154:S154)</f>
        <v>#DIV/0!</v>
      </c>
    </row>
    <row r="155" spans="1:25" ht="16" thickTop="1" x14ac:dyDescent="0.2"/>
    <row r="157" spans="1:25" x14ac:dyDescent="0.2">
      <c r="B157" s="2"/>
      <c r="M157" s="14"/>
      <c r="N157" s="1"/>
      <c r="O157" s="14"/>
      <c r="P157" s="14"/>
      <c r="Q157" s="14"/>
      <c r="R157" s="1"/>
      <c r="S157" s="1"/>
      <c r="T157" s="1"/>
      <c r="U157" s="19"/>
      <c r="V157" s="20"/>
      <c r="W157" s="1"/>
      <c r="X157" s="14"/>
      <c r="Y157" s="14"/>
    </row>
    <row r="158" spans="1:25" x14ac:dyDescent="0.2">
      <c r="B158" s="2"/>
      <c r="M158" s="13"/>
      <c r="N158" s="14"/>
      <c r="O158" s="13"/>
      <c r="P158" s="167"/>
      <c r="Q158" s="168"/>
      <c r="R158" s="19"/>
      <c r="S158" s="19"/>
      <c r="T158" s="19"/>
      <c r="U158" s="21"/>
      <c r="V158" s="8"/>
      <c r="W158" s="1"/>
      <c r="X158" s="8"/>
      <c r="Y158" s="13"/>
    </row>
    <row r="159" spans="1:25" x14ac:dyDescent="0.2">
      <c r="B159" s="2"/>
      <c r="M159" s="1"/>
      <c r="N159" s="14"/>
      <c r="O159" s="13"/>
      <c r="P159" s="167"/>
      <c r="Q159" s="168"/>
      <c r="R159" s="19"/>
      <c r="S159" s="19"/>
      <c r="T159" s="19"/>
      <c r="U159" s="21"/>
      <c r="V159" s="8"/>
      <c r="W159" s="1"/>
      <c r="X159" s="8"/>
      <c r="Y159" s="13"/>
    </row>
    <row r="160" spans="1:25" x14ac:dyDescent="0.2">
      <c r="B160" s="2"/>
      <c r="M160" s="14"/>
      <c r="N160" s="14"/>
      <c r="O160" s="13"/>
      <c r="P160" s="167"/>
      <c r="Q160" s="168"/>
      <c r="R160" s="19"/>
      <c r="S160" s="19"/>
      <c r="T160" s="19"/>
      <c r="U160" s="21"/>
      <c r="V160" s="8"/>
      <c r="W160" s="1"/>
      <c r="X160" s="8"/>
      <c r="Y160" s="13"/>
    </row>
    <row r="161" spans="2:25" x14ac:dyDescent="0.2">
      <c r="B161" s="2"/>
      <c r="D161" s="2"/>
      <c r="M161" s="8"/>
      <c r="N161" s="14"/>
      <c r="O161" s="13"/>
      <c r="P161" s="167"/>
      <c r="Q161" s="168"/>
      <c r="R161" s="19"/>
      <c r="S161" s="19"/>
      <c r="T161" s="19"/>
      <c r="U161" s="21"/>
      <c r="V161" s="8"/>
      <c r="W161" s="1"/>
      <c r="X161" s="8"/>
      <c r="Y161" s="13"/>
    </row>
    <row r="162" spans="2:25" x14ac:dyDescent="0.2">
      <c r="B162" s="2"/>
      <c r="N162" s="14"/>
      <c r="O162" s="13"/>
      <c r="P162" s="167"/>
      <c r="Q162" s="168"/>
      <c r="R162" s="19"/>
      <c r="S162" s="19"/>
      <c r="T162" s="19"/>
      <c r="U162" s="21"/>
      <c r="V162" s="8"/>
      <c r="W162" s="1"/>
      <c r="X162" s="8"/>
      <c r="Y162" s="13"/>
    </row>
    <row r="163" spans="2:25" x14ac:dyDescent="0.2">
      <c r="B163" s="2"/>
      <c r="N163" s="14"/>
      <c r="O163" s="13"/>
      <c r="P163" s="167"/>
      <c r="Q163" s="168"/>
      <c r="R163" s="19"/>
      <c r="S163" s="19"/>
      <c r="T163" s="19"/>
      <c r="U163" s="21"/>
      <c r="V163" s="8"/>
      <c r="W163" s="1"/>
      <c r="X163" s="8"/>
      <c r="Y163" s="13"/>
    </row>
    <row r="164" spans="2:25" x14ac:dyDescent="0.2">
      <c r="B164" s="2"/>
      <c r="N164" s="14"/>
      <c r="O164" s="13"/>
      <c r="P164" s="167"/>
      <c r="Q164" s="168"/>
      <c r="R164" s="19"/>
      <c r="S164" s="19"/>
      <c r="T164" s="19"/>
      <c r="U164" s="21"/>
      <c r="V164" s="8"/>
      <c r="W164" s="1"/>
      <c r="X164" s="8"/>
      <c r="Y164" s="13"/>
    </row>
    <row r="165" spans="2:25" x14ac:dyDescent="0.2">
      <c r="N165" s="14"/>
      <c r="O165" s="13"/>
      <c r="P165" s="167"/>
      <c r="Q165" s="168"/>
      <c r="R165" s="19"/>
      <c r="S165" s="19"/>
      <c r="T165" s="19"/>
      <c r="U165" s="21"/>
      <c r="V165" s="8"/>
      <c r="W165" s="1"/>
      <c r="X165" s="8"/>
      <c r="Y165" s="13"/>
    </row>
    <row r="166" spans="2:25" x14ac:dyDescent="0.2">
      <c r="N166" s="14"/>
      <c r="O166" s="13"/>
      <c r="P166" s="167"/>
      <c r="Q166" s="168"/>
      <c r="R166" s="19"/>
      <c r="S166" s="19"/>
      <c r="T166" s="19"/>
      <c r="U166" s="21"/>
      <c r="V166" s="8"/>
      <c r="W166" s="1"/>
      <c r="X166" s="8"/>
      <c r="Y166" s="13"/>
    </row>
    <row r="167" spans="2:25" x14ac:dyDescent="0.2">
      <c r="N167" s="14"/>
      <c r="O167" s="13"/>
      <c r="P167" s="167"/>
      <c r="Q167" s="168"/>
      <c r="R167" s="19"/>
      <c r="S167" s="19"/>
      <c r="T167" s="19"/>
      <c r="U167" s="21"/>
      <c r="V167" s="8"/>
      <c r="W167" s="1"/>
      <c r="X167" s="8"/>
      <c r="Y167" s="13"/>
    </row>
    <row r="168" spans="2:25" x14ac:dyDescent="0.2">
      <c r="N168" s="14"/>
      <c r="O168" s="13"/>
      <c r="P168" s="167"/>
      <c r="Q168" s="168"/>
      <c r="R168" s="19"/>
      <c r="S168" s="19"/>
      <c r="T168" s="19"/>
      <c r="U168" s="21"/>
      <c r="V168" s="8"/>
      <c r="W168" s="1"/>
      <c r="X168" s="8"/>
      <c r="Y168" s="13"/>
    </row>
    <row r="169" spans="2:25" x14ac:dyDescent="0.2">
      <c r="N169" s="14"/>
      <c r="O169" s="13"/>
      <c r="P169" s="167"/>
      <c r="Q169" s="168"/>
      <c r="R169" s="19"/>
      <c r="S169" s="19"/>
      <c r="T169" s="19"/>
      <c r="U169" s="21"/>
      <c r="V169" s="8"/>
      <c r="W169" s="1"/>
      <c r="X169" s="8"/>
      <c r="Y169" s="13"/>
    </row>
    <row r="170" spans="2:25" x14ac:dyDescent="0.2"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</sheetData>
  <sheetProtection password="CA15" sheet="1" objects="1" scenarios="1" selectLockedCells="1" selectUnlockedCells="1"/>
  <mergeCells count="5">
    <mergeCell ref="AC1:AD1"/>
    <mergeCell ref="AE1:AF1"/>
    <mergeCell ref="AG1:AH1"/>
    <mergeCell ref="AJ1:AK1"/>
    <mergeCell ref="AL1:AM1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GENERAL INFORMATION</vt:lpstr>
      <vt:lpstr>DATA INPUT</vt:lpstr>
      <vt:lpstr>RESULTS_REPORT</vt:lpstr>
      <vt:lpstr>CALCULATIONS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BoysJM</dc:creator>
  <cp:lastModifiedBy>Natanael NABOT</cp:lastModifiedBy>
  <cp:lastPrinted>2021-02-22T10:21:31Z</cp:lastPrinted>
  <dcterms:created xsi:type="dcterms:W3CDTF">2019-10-23T11:48:09Z</dcterms:created>
  <dcterms:modified xsi:type="dcterms:W3CDTF">2021-04-25T10:07:31Z</dcterms:modified>
</cp:coreProperties>
</file>